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B295D3B-C824-4379-BE28-29DCC29EF916}" xr6:coauthVersionLast="47" xr6:coauthVersionMax="47" xr10:uidLastSave="{00000000-0000-0000-0000-000000000000}"/>
  <bookViews>
    <workbookView xWindow="-120" yWindow="-120" windowWidth="20730" windowHeight="11760" tabRatio="715" activeTab="4" xr2:uid="{00000000-000D-0000-FFFF-FFFF00000000}"/>
  </bookViews>
  <sheets>
    <sheet name="SUMMARY" sheetId="9" r:id="rId1"/>
    <sheet name="GITEBWE" sheetId="8" r:id="rId2"/>
    <sheet name="ADEGI GITUZA" sheetId="3" r:id="rId3"/>
    <sheet name="Busetsa PS" sheetId="4" r:id="rId4"/>
    <sheet name="NYAGISOZI" sheetId="5" r:id="rId5"/>
    <sheet name="NYARUBUYE" sheetId="6" r:id="rId6"/>
    <sheet name="TVET GITUZA" sheetId="7" r:id="rId7"/>
    <sheet name="DOUBLE GIRL'S ROOM" sheetId="10" r:id="rId8"/>
    <sheet name="SIGLE GIRLS ROOM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0" i="6" l="1"/>
  <c r="F72" i="4"/>
  <c r="F5" i="10"/>
  <c r="D6" i="8"/>
  <c r="D7" i="8" s="1"/>
  <c r="D8" i="8"/>
  <c r="D6" i="5"/>
  <c r="D28" i="8" l="1"/>
  <c r="D11" i="5" l="1"/>
  <c r="D21" i="5"/>
  <c r="D20" i="5"/>
  <c r="D11" i="3" l="1"/>
  <c r="F5" i="8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53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24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188" i="6"/>
  <c r="F99" i="11"/>
  <c r="F44" i="10"/>
  <c r="F101" i="10" s="1"/>
  <c r="F99" i="10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58" i="7"/>
  <c r="F259" i="6"/>
  <c r="F260" i="6"/>
  <c r="F261" i="6"/>
  <c r="F262" i="6"/>
  <c r="F263" i="6"/>
  <c r="F264" i="6"/>
  <c r="F265" i="6"/>
  <c r="F266" i="6"/>
  <c r="F267" i="6"/>
  <c r="F268" i="6"/>
  <c r="F269" i="6"/>
  <c r="F271" i="6"/>
  <c r="F272" i="6"/>
  <c r="F258" i="6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59" i="5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58" i="4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96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60" i="3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25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61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4" i="11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D8" i="4" l="1"/>
  <c r="F8" i="4" s="1"/>
  <c r="D8" i="5"/>
  <c r="D8" i="7"/>
  <c r="D118" i="3"/>
  <c r="D50" i="3"/>
  <c r="D8" i="3"/>
  <c r="D12" i="3"/>
  <c r="D182" i="8"/>
  <c r="F73" i="4"/>
  <c r="F74" i="4" s="1"/>
  <c r="F175" i="3"/>
  <c r="F176" i="3" s="1"/>
  <c r="F111" i="3"/>
  <c r="F112" i="3" s="1"/>
  <c r="F29" i="10" l="1"/>
  <c r="D27" i="7"/>
  <c r="D228" i="6"/>
  <c r="D164" i="6"/>
  <c r="D93" i="6"/>
  <c r="D27" i="6"/>
  <c r="D27" i="5"/>
  <c r="D27" i="4"/>
  <c r="D137" i="3"/>
  <c r="D69" i="3"/>
  <c r="D24" i="3"/>
  <c r="D201" i="8"/>
  <c r="F201" i="8" s="1"/>
  <c r="D135" i="8"/>
  <c r="D69" i="8"/>
  <c r="F69" i="8" s="1"/>
  <c r="D24" i="8"/>
  <c r="F29" i="11"/>
  <c r="F74" i="5"/>
  <c r="F75" i="5" s="1"/>
  <c r="F240" i="8"/>
  <c r="F241" i="8" s="1"/>
  <c r="F17" i="10"/>
  <c r="F100" i="11"/>
  <c r="F93" i="11"/>
  <c r="F94" i="11"/>
  <c r="F95" i="11"/>
  <c r="F96" i="11"/>
  <c r="F92" i="11"/>
  <c r="F86" i="11"/>
  <c r="F87" i="11"/>
  <c r="F88" i="11"/>
  <c r="F89" i="11"/>
  <c r="F85" i="11"/>
  <c r="F90" i="11" s="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68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51" i="11"/>
  <c r="F48" i="11"/>
  <c r="F49" i="11"/>
  <c r="F47" i="11"/>
  <c r="F43" i="11"/>
  <c r="F42" i="11"/>
  <c r="F44" i="11" s="1"/>
  <c r="F39" i="11"/>
  <c r="F40" i="11" s="1"/>
  <c r="F36" i="11"/>
  <c r="F37" i="11" s="1"/>
  <c r="F30" i="11"/>
  <c r="F32" i="11"/>
  <c r="F33" i="11"/>
  <c r="F25" i="11"/>
  <c r="F26" i="11" s="1"/>
  <c r="F22" i="11"/>
  <c r="F21" i="11"/>
  <c r="F23" i="11" s="1"/>
  <c r="F17" i="11"/>
  <c r="F18" i="11"/>
  <c r="F16" i="11"/>
  <c r="F8" i="11"/>
  <c r="F9" i="11"/>
  <c r="F10" i="11"/>
  <c r="F11" i="11"/>
  <c r="F12" i="11"/>
  <c r="F13" i="11"/>
  <c r="F7" i="11"/>
  <c r="F5" i="11"/>
  <c r="F100" i="10"/>
  <c r="F93" i="10"/>
  <c r="F94" i="10"/>
  <c r="F95" i="10"/>
  <c r="F96" i="10"/>
  <c r="F92" i="10"/>
  <c r="F86" i="10"/>
  <c r="F87" i="10"/>
  <c r="F88" i="10"/>
  <c r="F89" i="10"/>
  <c r="F85" i="10"/>
  <c r="F90" i="10" s="1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68" i="10"/>
  <c r="F65" i="10"/>
  <c r="F66" i="10"/>
  <c r="F49" i="10"/>
  <c r="F48" i="10"/>
  <c r="F47" i="10"/>
  <c r="F43" i="10"/>
  <c r="F42" i="10"/>
  <c r="F39" i="10"/>
  <c r="F40" i="10" s="1"/>
  <c r="F36" i="10"/>
  <c r="F37" i="10" s="1"/>
  <c r="F33" i="10"/>
  <c r="F32" i="10"/>
  <c r="F30" i="10"/>
  <c r="F22" i="10"/>
  <c r="F21" i="10"/>
  <c r="F18" i="10"/>
  <c r="F16" i="10"/>
  <c r="F19" i="10" s="1"/>
  <c r="F8" i="10"/>
  <c r="F9" i="10"/>
  <c r="F10" i="10"/>
  <c r="F11" i="10"/>
  <c r="F12" i="10"/>
  <c r="F13" i="10"/>
  <c r="F7" i="10"/>
  <c r="F4" i="10"/>
  <c r="F25" i="10"/>
  <c r="F26" i="10" s="1"/>
  <c r="C18" i="9"/>
  <c r="B21" i="9"/>
  <c r="F156" i="3"/>
  <c r="F92" i="3"/>
  <c r="D120" i="6"/>
  <c r="D93" i="3"/>
  <c r="F93" i="3" s="1"/>
  <c r="F222" i="8"/>
  <c r="D221" i="8"/>
  <c r="F221" i="8" s="1"/>
  <c r="F220" i="8"/>
  <c r="F219" i="8"/>
  <c r="F218" i="8"/>
  <c r="D217" i="8"/>
  <c r="F217" i="8" s="1"/>
  <c r="F216" i="8"/>
  <c r="F214" i="8"/>
  <c r="F213" i="8"/>
  <c r="F212" i="8"/>
  <c r="D210" i="8"/>
  <c r="D211" i="8" s="1"/>
  <c r="F211" i="8" s="1"/>
  <c r="D209" i="8"/>
  <c r="F209" i="8" s="1"/>
  <c r="D208" i="8"/>
  <c r="F208" i="8" s="1"/>
  <c r="F207" i="8"/>
  <c r="F204" i="8"/>
  <c r="D203" i="8"/>
  <c r="F203" i="8" s="1"/>
  <c r="F202" i="8"/>
  <c r="D200" i="8"/>
  <c r="F200" i="8" s="1"/>
  <c r="F199" i="8"/>
  <c r="D198" i="8"/>
  <c r="F198" i="8" s="1"/>
  <c r="D197" i="8"/>
  <c r="F197" i="8" s="1"/>
  <c r="D196" i="8"/>
  <c r="F196" i="8" s="1"/>
  <c r="D195" i="8"/>
  <c r="F195" i="8" s="1"/>
  <c r="F194" i="8"/>
  <c r="D193" i="8"/>
  <c r="F193" i="8" s="1"/>
  <c r="D192" i="8"/>
  <c r="F192" i="8" s="1"/>
  <c r="F191" i="8"/>
  <c r="D190" i="8"/>
  <c r="F190" i="8" s="1"/>
  <c r="D189" i="8"/>
  <c r="F189" i="8" s="1"/>
  <c r="D188" i="8"/>
  <c r="F188" i="8" s="1"/>
  <c r="D187" i="8"/>
  <c r="F187" i="8" s="1"/>
  <c r="D186" i="8"/>
  <c r="F186" i="8" s="1"/>
  <c r="D185" i="8"/>
  <c r="F185" i="8" s="1"/>
  <c r="D183" i="8"/>
  <c r="F183" i="8" s="1"/>
  <c r="F182" i="8"/>
  <c r="D180" i="8"/>
  <c r="F180" i="8" s="1"/>
  <c r="F179" i="8"/>
  <c r="F55" i="7"/>
  <c r="D54" i="7"/>
  <c r="F54" i="7" s="1"/>
  <c r="F53" i="7"/>
  <c r="F52" i="7"/>
  <c r="F51" i="7"/>
  <c r="D50" i="7"/>
  <c r="F50" i="7" s="1"/>
  <c r="F49" i="7"/>
  <c r="F48" i="7"/>
  <c r="F46" i="7"/>
  <c r="D45" i="7"/>
  <c r="F45" i="7" s="1"/>
  <c r="F44" i="7"/>
  <c r="F43" i="7"/>
  <c r="F42" i="7"/>
  <c r="F41" i="7"/>
  <c r="F40" i="7"/>
  <c r="F39" i="7"/>
  <c r="D37" i="7"/>
  <c r="D36" i="7"/>
  <c r="F36" i="7" s="1"/>
  <c r="D35" i="7"/>
  <c r="F35" i="7" s="1"/>
  <c r="F34" i="7"/>
  <c r="F33" i="7"/>
  <c r="F30" i="7"/>
  <c r="D29" i="7"/>
  <c r="F29" i="7" s="1"/>
  <c r="F28" i="7"/>
  <c r="F27" i="7"/>
  <c r="D26" i="7"/>
  <c r="F26" i="7" s="1"/>
  <c r="F25" i="7"/>
  <c r="D24" i="7"/>
  <c r="F24" i="7" s="1"/>
  <c r="D23" i="7"/>
  <c r="D22" i="7"/>
  <c r="F22" i="7" s="1"/>
  <c r="D21" i="7"/>
  <c r="F21" i="7" s="1"/>
  <c r="D20" i="7"/>
  <c r="F20" i="7" s="1"/>
  <c r="D19" i="7"/>
  <c r="F19" i="7" s="1"/>
  <c r="F17" i="7"/>
  <c r="D16" i="7"/>
  <c r="F16" i="7" s="1"/>
  <c r="D15" i="7"/>
  <c r="F15" i="7" s="1"/>
  <c r="D14" i="7"/>
  <c r="F14" i="7" s="1"/>
  <c r="D13" i="7"/>
  <c r="F13" i="7" s="1"/>
  <c r="D12" i="7"/>
  <c r="F12" i="7" s="1"/>
  <c r="D11" i="7"/>
  <c r="F11" i="7" s="1"/>
  <c r="D9" i="7"/>
  <c r="F9" i="7" s="1"/>
  <c r="D6" i="7"/>
  <c r="D7" i="7" s="1"/>
  <c r="F5" i="7"/>
  <c r="F55" i="4"/>
  <c r="D54" i="4"/>
  <c r="F54" i="4" s="1"/>
  <c r="F53" i="4"/>
  <c r="F52" i="4"/>
  <c r="F51" i="4"/>
  <c r="D50" i="4"/>
  <c r="F50" i="4" s="1"/>
  <c r="F49" i="4"/>
  <c r="F48" i="4"/>
  <c r="F46" i="4"/>
  <c r="D45" i="4"/>
  <c r="F45" i="4" s="1"/>
  <c r="F44" i="4"/>
  <c r="F43" i="4"/>
  <c r="F42" i="4"/>
  <c r="F41" i="4"/>
  <c r="F40" i="4"/>
  <c r="F39" i="4"/>
  <c r="D37" i="4"/>
  <c r="F37" i="4" s="1"/>
  <c r="D36" i="4"/>
  <c r="F36" i="4" s="1"/>
  <c r="D35" i="4"/>
  <c r="F35" i="4" s="1"/>
  <c r="F34" i="4"/>
  <c r="F33" i="4"/>
  <c r="F30" i="4"/>
  <c r="D29" i="4"/>
  <c r="F29" i="4" s="1"/>
  <c r="F28" i="4"/>
  <c r="F27" i="4"/>
  <c r="D26" i="4"/>
  <c r="F26" i="4" s="1"/>
  <c r="F25" i="4"/>
  <c r="D24" i="4"/>
  <c r="F24" i="4" s="1"/>
  <c r="D23" i="4"/>
  <c r="D22" i="4"/>
  <c r="F22" i="4" s="1"/>
  <c r="D21" i="4"/>
  <c r="F21" i="4" s="1"/>
  <c r="D20" i="4"/>
  <c r="F20" i="4" s="1"/>
  <c r="D19" i="4"/>
  <c r="F19" i="4" s="1"/>
  <c r="D18" i="4"/>
  <c r="F18" i="4" s="1"/>
  <c r="F17" i="4"/>
  <c r="D16" i="4"/>
  <c r="F16" i="4" s="1"/>
  <c r="D15" i="4"/>
  <c r="F15" i="4" s="1"/>
  <c r="D14" i="4"/>
  <c r="F14" i="4" s="1"/>
  <c r="D13" i="4"/>
  <c r="F13" i="4" s="1"/>
  <c r="D12" i="4"/>
  <c r="F12" i="4" s="1"/>
  <c r="D11" i="4"/>
  <c r="F11" i="4" s="1"/>
  <c r="D9" i="4"/>
  <c r="F9" i="4" s="1"/>
  <c r="D6" i="4"/>
  <c r="D7" i="4" s="1"/>
  <c r="F5" i="4"/>
  <c r="F158" i="8"/>
  <c r="D157" i="8"/>
  <c r="F157" i="8" s="1"/>
  <c r="F156" i="8"/>
  <c r="F155" i="8"/>
  <c r="F154" i="8"/>
  <c r="D153" i="8"/>
  <c r="F153" i="8" s="1"/>
  <c r="F152" i="8"/>
  <c r="F150" i="8"/>
  <c r="F149" i="8"/>
  <c r="F148" i="8"/>
  <c r="F147" i="8"/>
  <c r="F146" i="8"/>
  <c r="D144" i="8"/>
  <c r="D145" i="8" s="1"/>
  <c r="F145" i="8" s="1"/>
  <c r="D143" i="8"/>
  <c r="F143" i="8" s="1"/>
  <c r="D142" i="8"/>
  <c r="F142" i="8" s="1"/>
  <c r="F141" i="8"/>
  <c r="F138" i="8"/>
  <c r="D137" i="8"/>
  <c r="F137" i="8" s="1"/>
  <c r="F136" i="8"/>
  <c r="F135" i="8"/>
  <c r="D134" i="8"/>
  <c r="F134" i="8" s="1"/>
  <c r="F133" i="8"/>
  <c r="D132" i="8"/>
  <c r="F132" i="8" s="1"/>
  <c r="D131" i="8"/>
  <c r="D140" i="8" s="1"/>
  <c r="F140" i="8" s="1"/>
  <c r="D130" i="8"/>
  <c r="F130" i="8" s="1"/>
  <c r="D129" i="8"/>
  <c r="F129" i="8" s="1"/>
  <c r="F128" i="8"/>
  <c r="D127" i="8"/>
  <c r="F127" i="8" s="1"/>
  <c r="D126" i="8"/>
  <c r="F126" i="8" s="1"/>
  <c r="F125" i="8"/>
  <c r="D124" i="8"/>
  <c r="F124" i="8" s="1"/>
  <c r="D123" i="8"/>
  <c r="F123" i="8" s="1"/>
  <c r="D122" i="8"/>
  <c r="F122" i="8" s="1"/>
  <c r="D121" i="8"/>
  <c r="F121" i="8" s="1"/>
  <c r="D120" i="8"/>
  <c r="F120" i="8" s="1"/>
  <c r="D119" i="8"/>
  <c r="F119" i="8" s="1"/>
  <c r="D117" i="8"/>
  <c r="F117" i="8" s="1"/>
  <c r="D116" i="8"/>
  <c r="F116" i="8" s="1"/>
  <c r="D114" i="8"/>
  <c r="D115" i="8" s="1"/>
  <c r="F113" i="8"/>
  <c r="F91" i="8"/>
  <c r="F24" i="8"/>
  <c r="F24" i="3"/>
  <c r="D43" i="3"/>
  <c r="F43" i="3" s="1"/>
  <c r="F42" i="3"/>
  <c r="F40" i="3"/>
  <c r="F39" i="3"/>
  <c r="F38" i="3"/>
  <c r="F37" i="3"/>
  <c r="F36" i="3"/>
  <c r="D34" i="3"/>
  <c r="D35" i="3" s="1"/>
  <c r="F35" i="3" s="1"/>
  <c r="D33" i="3"/>
  <c r="F33" i="3" s="1"/>
  <c r="D32" i="3"/>
  <c r="F32" i="3" s="1"/>
  <c r="F31" i="3"/>
  <c r="F30" i="3"/>
  <c r="D29" i="3"/>
  <c r="F29" i="3" s="1"/>
  <c r="D28" i="3"/>
  <c r="D41" i="3" s="1"/>
  <c r="F41" i="3" s="1"/>
  <c r="F27" i="3"/>
  <c r="D26" i="3"/>
  <c r="F26" i="3" s="1"/>
  <c r="F25" i="3"/>
  <c r="D23" i="3"/>
  <c r="F23" i="3" s="1"/>
  <c r="F22" i="3"/>
  <c r="D21" i="3"/>
  <c r="F21" i="3" s="1"/>
  <c r="D20" i="3"/>
  <c r="F20" i="3" s="1"/>
  <c r="D19" i="3"/>
  <c r="F19" i="3" s="1"/>
  <c r="F17" i="3"/>
  <c r="D16" i="3"/>
  <c r="F16" i="3" s="1"/>
  <c r="D15" i="3"/>
  <c r="F15" i="3" s="1"/>
  <c r="D14" i="3"/>
  <c r="F14" i="3" s="1"/>
  <c r="D13" i="3"/>
  <c r="F13" i="3" s="1"/>
  <c r="F12" i="3"/>
  <c r="F11" i="3"/>
  <c r="D9" i="3"/>
  <c r="F9" i="3" s="1"/>
  <c r="F8" i="3"/>
  <c r="D6" i="3"/>
  <c r="D7" i="3" s="1"/>
  <c r="F5" i="3"/>
  <c r="F47" i="3"/>
  <c r="D48" i="3"/>
  <c r="F48" i="3" s="1"/>
  <c r="F50" i="3"/>
  <c r="D51" i="3"/>
  <c r="F51" i="3" s="1"/>
  <c r="D53" i="3"/>
  <c r="F53" i="3" s="1"/>
  <c r="D54" i="3"/>
  <c r="F54" i="3" s="1"/>
  <c r="D55" i="3"/>
  <c r="F55" i="3" s="1"/>
  <c r="D56" i="3"/>
  <c r="F56" i="3" s="1"/>
  <c r="D57" i="3"/>
  <c r="F57" i="3" s="1"/>
  <c r="D58" i="3"/>
  <c r="F58" i="3" s="1"/>
  <c r="F59" i="3"/>
  <c r="D61" i="3"/>
  <c r="D60" i="3" s="1"/>
  <c r="F60" i="3" s="1"/>
  <c r="D62" i="3"/>
  <c r="F62" i="3" s="1"/>
  <c r="D63" i="3"/>
  <c r="F63" i="3" s="1"/>
  <c r="D64" i="3"/>
  <c r="F64" i="3" s="1"/>
  <c r="D65" i="3"/>
  <c r="F65" i="3" s="1"/>
  <c r="D66" i="3"/>
  <c r="F66" i="3" s="1"/>
  <c r="F67" i="3"/>
  <c r="D68" i="3"/>
  <c r="F68" i="3" s="1"/>
  <c r="F69" i="3"/>
  <c r="F70" i="3"/>
  <c r="D71" i="3"/>
  <c r="F71" i="3" s="1"/>
  <c r="F72" i="3"/>
  <c r="F75" i="3"/>
  <c r="F76" i="3"/>
  <c r="D77" i="3"/>
  <c r="F77" i="3" s="1"/>
  <c r="D78" i="3"/>
  <c r="F78" i="3" s="1"/>
  <c r="D79" i="3"/>
  <c r="D80" i="3" s="1"/>
  <c r="F80" i="3" s="1"/>
  <c r="F81" i="3"/>
  <c r="F82" i="3"/>
  <c r="F83" i="3"/>
  <c r="D84" i="3"/>
  <c r="F84" i="3" s="1"/>
  <c r="F85" i="3"/>
  <c r="F87" i="3"/>
  <c r="D88" i="3"/>
  <c r="F88" i="3" s="1"/>
  <c r="F89" i="3"/>
  <c r="F90" i="3"/>
  <c r="F91" i="3"/>
  <c r="D43" i="8"/>
  <c r="F43" i="8" s="1"/>
  <c r="F42" i="8"/>
  <c r="F40" i="8"/>
  <c r="F39" i="8"/>
  <c r="F38" i="8"/>
  <c r="F37" i="8"/>
  <c r="F36" i="8"/>
  <c r="D34" i="8"/>
  <c r="D35" i="8" s="1"/>
  <c r="F35" i="8" s="1"/>
  <c r="D33" i="8"/>
  <c r="F33" i="8" s="1"/>
  <c r="D32" i="8"/>
  <c r="F32" i="8" s="1"/>
  <c r="F31" i="8"/>
  <c r="F30" i="8"/>
  <c r="D29" i="8"/>
  <c r="F29" i="8" s="1"/>
  <c r="D41" i="8"/>
  <c r="F41" i="8" s="1"/>
  <c r="F27" i="8"/>
  <c r="D26" i="8"/>
  <c r="F26" i="8" s="1"/>
  <c r="F25" i="8"/>
  <c r="D23" i="8"/>
  <c r="F23" i="8" s="1"/>
  <c r="F22" i="8"/>
  <c r="D21" i="8"/>
  <c r="F21" i="8" s="1"/>
  <c r="D20" i="8"/>
  <c r="F20" i="8" s="1"/>
  <c r="D19" i="8"/>
  <c r="F19" i="8" s="1"/>
  <c r="F17" i="8"/>
  <c r="D16" i="8"/>
  <c r="F16" i="8" s="1"/>
  <c r="D15" i="8"/>
  <c r="F15" i="8" s="1"/>
  <c r="D14" i="8"/>
  <c r="F14" i="8" s="1"/>
  <c r="D13" i="8"/>
  <c r="F13" i="8" s="1"/>
  <c r="D12" i="8"/>
  <c r="F12" i="8" s="1"/>
  <c r="D11" i="8"/>
  <c r="F11" i="8" s="1"/>
  <c r="D9" i="8"/>
  <c r="F8" i="8"/>
  <c r="F9" i="8" l="1"/>
  <c r="D10" i="8"/>
  <c r="F10" i="8" s="1"/>
  <c r="F66" i="11"/>
  <c r="F83" i="11"/>
  <c r="F50" i="11"/>
  <c r="F97" i="11"/>
  <c r="F83" i="10"/>
  <c r="F97" i="10"/>
  <c r="F50" i="10"/>
  <c r="F23" i="10"/>
  <c r="F34" i="11"/>
  <c r="F34" i="10"/>
  <c r="F14" i="11"/>
  <c r="F19" i="11"/>
  <c r="F14" i="10"/>
  <c r="F23" i="7"/>
  <c r="D32" i="7"/>
  <c r="F32" i="7" s="1"/>
  <c r="D38" i="7"/>
  <c r="F38" i="7" s="1"/>
  <c r="F37" i="7"/>
  <c r="D32" i="4"/>
  <c r="F32" i="4" s="1"/>
  <c r="F23" i="4"/>
  <c r="D181" i="8"/>
  <c r="D205" i="8"/>
  <c r="D206" i="8"/>
  <c r="F206" i="8" s="1"/>
  <c r="F210" i="8"/>
  <c r="D18" i="8"/>
  <c r="F18" i="8" s="1"/>
  <c r="D10" i="7"/>
  <c r="F10" i="7" s="1"/>
  <c r="F7" i="7"/>
  <c r="D31" i="7"/>
  <c r="D18" i="7"/>
  <c r="F18" i="7" s="1"/>
  <c r="F6" i="7"/>
  <c r="D38" i="4"/>
  <c r="F38" i="4" s="1"/>
  <c r="D31" i="4"/>
  <c r="F31" i="4" s="1"/>
  <c r="F7" i="4"/>
  <c r="D10" i="4"/>
  <c r="F10" i="4" s="1"/>
  <c r="D47" i="4"/>
  <c r="F47" i="4" s="1"/>
  <c r="F6" i="4"/>
  <c r="F115" i="8"/>
  <c r="D118" i="8"/>
  <c r="F118" i="8" s="1"/>
  <c r="F114" i="8"/>
  <c r="F131" i="8"/>
  <c r="D139" i="8"/>
  <c r="F144" i="8"/>
  <c r="D18" i="3"/>
  <c r="F18" i="3" s="1"/>
  <c r="F61" i="3"/>
  <c r="D10" i="3"/>
  <c r="F10" i="3" s="1"/>
  <c r="F7" i="3"/>
  <c r="F34" i="3"/>
  <c r="F6" i="3"/>
  <c r="F28" i="3"/>
  <c r="D74" i="3"/>
  <c r="F74" i="3" s="1"/>
  <c r="D73" i="3"/>
  <c r="D86" i="3" s="1"/>
  <c r="F86" i="3" s="1"/>
  <c r="D49" i="3"/>
  <c r="F79" i="3"/>
  <c r="F7" i="8"/>
  <c r="F34" i="8"/>
  <c r="F6" i="8"/>
  <c r="F28" i="8"/>
  <c r="F101" i="11" l="1"/>
  <c r="F102" i="11" s="1"/>
  <c r="D22" i="9" s="1"/>
  <c r="F102" i="10"/>
  <c r="D23" i="9" s="1"/>
  <c r="F205" i="8"/>
  <c r="D215" i="8"/>
  <c r="F215" i="8" s="1"/>
  <c r="F181" i="8"/>
  <c r="D184" i="8"/>
  <c r="F184" i="8" s="1"/>
  <c r="F223" i="8"/>
  <c r="F242" i="8" s="1"/>
  <c r="F31" i="7"/>
  <c r="D47" i="7"/>
  <c r="F47" i="7" s="1"/>
  <c r="F139" i="8"/>
  <c r="D151" i="8"/>
  <c r="F151" i="8" s="1"/>
  <c r="D52" i="3"/>
  <c r="F52" i="3" s="1"/>
  <c r="F49" i="3"/>
  <c r="F73" i="3"/>
  <c r="F94" i="3" l="1"/>
  <c r="F159" i="8"/>
  <c r="F56" i="7"/>
  <c r="F56" i="4"/>
  <c r="F44" i="3"/>
  <c r="F45" i="3" s="1"/>
  <c r="D9" i="9" s="1"/>
  <c r="F44" i="8" l="1"/>
  <c r="F45" i="8" s="1"/>
  <c r="D5" i="9" l="1"/>
  <c r="D184" i="6"/>
  <c r="D49" i="6"/>
  <c r="D55" i="5"/>
  <c r="D90" i="8"/>
  <c r="D157" i="3"/>
  <c r="C17" i="9" l="1"/>
  <c r="C16" i="9"/>
  <c r="C15" i="9"/>
  <c r="C14" i="9"/>
  <c r="C13" i="9"/>
  <c r="C12" i="9"/>
  <c r="C11" i="9"/>
  <c r="C10" i="9"/>
  <c r="C9" i="9"/>
  <c r="C8" i="9"/>
  <c r="C7" i="9"/>
  <c r="C6" i="9"/>
  <c r="C5" i="9"/>
  <c r="F90" i="8"/>
  <c r="F89" i="8"/>
  <c r="F88" i="8"/>
  <c r="F87" i="8"/>
  <c r="D86" i="8"/>
  <c r="F86" i="8" s="1"/>
  <c r="F85" i="8"/>
  <c r="F83" i="8"/>
  <c r="F82" i="8"/>
  <c r="F81" i="8"/>
  <c r="F80" i="8"/>
  <c r="D78" i="8"/>
  <c r="D79" i="8" s="1"/>
  <c r="F79" i="8" s="1"/>
  <c r="D77" i="8"/>
  <c r="F77" i="8" s="1"/>
  <c r="D76" i="8"/>
  <c r="F76" i="8" s="1"/>
  <c r="F75" i="8"/>
  <c r="F72" i="8"/>
  <c r="D71" i="8"/>
  <c r="F71" i="8" s="1"/>
  <c r="F70" i="8"/>
  <c r="D68" i="8"/>
  <c r="F68" i="8" s="1"/>
  <c r="F67" i="8"/>
  <c r="D66" i="8"/>
  <c r="F66" i="8" s="1"/>
  <c r="D65" i="8"/>
  <c r="F65" i="8" s="1"/>
  <c r="D64" i="8"/>
  <c r="F64" i="8" s="1"/>
  <c r="D63" i="8"/>
  <c r="F63" i="8" s="1"/>
  <c r="F62" i="8"/>
  <c r="D61" i="8"/>
  <c r="F61" i="8" s="1"/>
  <c r="D60" i="8"/>
  <c r="F60" i="8" s="1"/>
  <c r="F59" i="8"/>
  <c r="D58" i="8"/>
  <c r="F58" i="8" s="1"/>
  <c r="D57" i="8"/>
  <c r="F57" i="8" s="1"/>
  <c r="D56" i="8"/>
  <c r="F56" i="8" s="1"/>
  <c r="D55" i="8"/>
  <c r="F55" i="8" s="1"/>
  <c r="D54" i="8"/>
  <c r="F54" i="8" s="1"/>
  <c r="D53" i="8"/>
  <c r="F53" i="8" s="1"/>
  <c r="D51" i="8"/>
  <c r="F51" i="8" s="1"/>
  <c r="D50" i="8"/>
  <c r="F50" i="8" s="1"/>
  <c r="D48" i="8"/>
  <c r="F48" i="8" s="1"/>
  <c r="F47" i="8"/>
  <c r="D250" i="6"/>
  <c r="F250" i="6" s="1"/>
  <c r="D245" i="6"/>
  <c r="F245" i="6" s="1"/>
  <c r="F255" i="6"/>
  <c r="F254" i="6"/>
  <c r="F253" i="6"/>
  <c r="F252" i="6"/>
  <c r="F251" i="6"/>
  <c r="F249" i="6"/>
  <c r="F248" i="6"/>
  <c r="F246" i="6"/>
  <c r="F244" i="6"/>
  <c r="F243" i="6"/>
  <c r="F242" i="6"/>
  <c r="F241" i="6"/>
  <c r="F240" i="6"/>
  <c r="D238" i="6"/>
  <c r="F238" i="6" s="1"/>
  <c r="D237" i="6"/>
  <c r="F237" i="6" s="1"/>
  <c r="F236" i="6"/>
  <c r="F235" i="6"/>
  <c r="F234" i="6"/>
  <c r="F231" i="6"/>
  <c r="D230" i="6"/>
  <c r="F230" i="6" s="1"/>
  <c r="F229" i="6"/>
  <c r="F228" i="6"/>
  <c r="D227" i="6"/>
  <c r="F227" i="6" s="1"/>
  <c r="F226" i="6"/>
  <c r="D225" i="6"/>
  <c r="F225" i="6" s="1"/>
  <c r="D224" i="6"/>
  <c r="F224" i="6" s="1"/>
  <c r="D223" i="6"/>
  <c r="F223" i="6" s="1"/>
  <c r="D222" i="6"/>
  <c r="F222" i="6" s="1"/>
  <c r="F221" i="6"/>
  <c r="D220" i="6"/>
  <c r="F220" i="6" s="1"/>
  <c r="F218" i="6"/>
  <c r="D217" i="6"/>
  <c r="F217" i="6" s="1"/>
  <c r="D216" i="6"/>
  <c r="F216" i="6" s="1"/>
  <c r="D215" i="6"/>
  <c r="F215" i="6" s="1"/>
  <c r="D214" i="6"/>
  <c r="F214" i="6" s="1"/>
  <c r="D213" i="6"/>
  <c r="F213" i="6" s="1"/>
  <c r="D212" i="6"/>
  <c r="F212" i="6" s="1"/>
  <c r="D210" i="6"/>
  <c r="F210" i="6" s="1"/>
  <c r="D209" i="6"/>
  <c r="F209" i="6" s="1"/>
  <c r="D207" i="6"/>
  <c r="D208" i="6" s="1"/>
  <c r="F208" i="6" s="1"/>
  <c r="F206" i="6"/>
  <c r="F185" i="6"/>
  <c r="F184" i="6"/>
  <c r="F183" i="6"/>
  <c r="F182" i="6"/>
  <c r="F181" i="6"/>
  <c r="D180" i="6"/>
  <c r="F180" i="6" s="1"/>
  <c r="F179" i="6"/>
  <c r="F177" i="6"/>
  <c r="F176" i="6"/>
  <c r="F175" i="6"/>
  <c r="D173" i="6"/>
  <c r="D174" i="6" s="1"/>
  <c r="F174" i="6" s="1"/>
  <c r="D172" i="6"/>
  <c r="F172" i="6" s="1"/>
  <c r="D171" i="6"/>
  <c r="F171" i="6" s="1"/>
  <c r="F170" i="6"/>
  <c r="F167" i="6"/>
  <c r="D166" i="6"/>
  <c r="F166" i="6" s="1"/>
  <c r="F165" i="6"/>
  <c r="F164" i="6"/>
  <c r="D163" i="6"/>
  <c r="F163" i="6" s="1"/>
  <c r="F162" i="6"/>
  <c r="D161" i="6"/>
  <c r="F161" i="6" s="1"/>
  <c r="D160" i="6"/>
  <c r="D169" i="6" s="1"/>
  <c r="F169" i="6" s="1"/>
  <c r="D159" i="6"/>
  <c r="F159" i="6" s="1"/>
  <c r="D158" i="6"/>
  <c r="F158" i="6" s="1"/>
  <c r="F157" i="6"/>
  <c r="D156" i="6"/>
  <c r="F156" i="6" s="1"/>
  <c r="D155" i="6"/>
  <c r="F155" i="6" s="1"/>
  <c r="F154" i="6"/>
  <c r="D153" i="6"/>
  <c r="F153" i="6" s="1"/>
  <c r="D152" i="6"/>
  <c r="F152" i="6" s="1"/>
  <c r="D151" i="6"/>
  <c r="F151" i="6" s="1"/>
  <c r="D150" i="6"/>
  <c r="F150" i="6" s="1"/>
  <c r="D149" i="6"/>
  <c r="F149" i="6" s="1"/>
  <c r="D148" i="6"/>
  <c r="F148" i="6" s="1"/>
  <c r="D146" i="6"/>
  <c r="F146" i="6" s="1"/>
  <c r="D145" i="6"/>
  <c r="F145" i="6" s="1"/>
  <c r="D143" i="6"/>
  <c r="D144" i="6" s="1"/>
  <c r="F142" i="6"/>
  <c r="D116" i="6"/>
  <c r="F116" i="6" s="1"/>
  <c r="D111" i="6"/>
  <c r="F111" i="6" s="1"/>
  <c r="D103" i="6"/>
  <c r="D104" i="6" s="1"/>
  <c r="F104" i="6" s="1"/>
  <c r="D102" i="6"/>
  <c r="F102" i="6" s="1"/>
  <c r="D95" i="6"/>
  <c r="F95" i="6" s="1"/>
  <c r="F93" i="6"/>
  <c r="D92" i="6"/>
  <c r="F92" i="6" s="1"/>
  <c r="D90" i="6"/>
  <c r="D89" i="6"/>
  <c r="F89" i="6" s="1"/>
  <c r="D88" i="6"/>
  <c r="F88" i="6" s="1"/>
  <c r="D87" i="6"/>
  <c r="F87" i="6" s="1"/>
  <c r="D85" i="6"/>
  <c r="D84" i="6" s="1"/>
  <c r="D82" i="6"/>
  <c r="F82" i="6" s="1"/>
  <c r="D81" i="6"/>
  <c r="F81" i="6" s="1"/>
  <c r="D80" i="6"/>
  <c r="F80" i="6" s="1"/>
  <c r="D79" i="6"/>
  <c r="F79" i="6" s="1"/>
  <c r="D78" i="6"/>
  <c r="F78" i="6" s="1"/>
  <c r="D77" i="6"/>
  <c r="F77" i="6" s="1"/>
  <c r="D75" i="6"/>
  <c r="F75" i="6" s="1"/>
  <c r="D74" i="6"/>
  <c r="F74" i="6" s="1"/>
  <c r="D72" i="6"/>
  <c r="F72" i="6" s="1"/>
  <c r="D45" i="6"/>
  <c r="F45" i="6" s="1"/>
  <c r="F40" i="6"/>
  <c r="F39" i="6"/>
  <c r="D36" i="6"/>
  <c r="D37" i="6" s="1"/>
  <c r="D35" i="6"/>
  <c r="F35" i="6" s="1"/>
  <c r="D34" i="6"/>
  <c r="F34" i="6" s="1"/>
  <c r="D29" i="6"/>
  <c r="F29" i="6" s="1"/>
  <c r="F27" i="6"/>
  <c r="D26" i="6"/>
  <c r="F26" i="6" s="1"/>
  <c r="D24" i="6"/>
  <c r="D23" i="6"/>
  <c r="D32" i="6" s="1"/>
  <c r="F32" i="6" s="1"/>
  <c r="D22" i="6"/>
  <c r="F22" i="6" s="1"/>
  <c r="D21" i="6"/>
  <c r="F21" i="6" s="1"/>
  <c r="F47" i="6"/>
  <c r="D19" i="6"/>
  <c r="F19" i="6" s="1"/>
  <c r="D18" i="6"/>
  <c r="F18" i="6" s="1"/>
  <c r="D16" i="6"/>
  <c r="F16" i="6" s="1"/>
  <c r="D15" i="6"/>
  <c r="F15" i="6" s="1"/>
  <c r="D14" i="6"/>
  <c r="F14" i="6" s="1"/>
  <c r="D13" i="6"/>
  <c r="F13" i="6" s="1"/>
  <c r="D12" i="6"/>
  <c r="F12" i="6" s="1"/>
  <c r="D11" i="6"/>
  <c r="F11" i="6" s="1"/>
  <c r="D9" i="6"/>
  <c r="F9" i="6" s="1"/>
  <c r="D8" i="6"/>
  <c r="F8" i="6" s="1"/>
  <c r="D6" i="6"/>
  <c r="D7" i="6" s="1"/>
  <c r="F121" i="6"/>
  <c r="F120" i="6"/>
  <c r="F119" i="6"/>
  <c r="F118" i="6"/>
  <c r="F117" i="6"/>
  <c r="F115" i="6"/>
  <c r="F114" i="6"/>
  <c r="F112" i="6"/>
  <c r="F110" i="6"/>
  <c r="F109" i="6"/>
  <c r="F108" i="6"/>
  <c r="F107" i="6"/>
  <c r="F106" i="6"/>
  <c r="F105" i="6"/>
  <c r="F101" i="6"/>
  <c r="F100" i="6"/>
  <c r="F99" i="6"/>
  <c r="F96" i="6"/>
  <c r="F94" i="6"/>
  <c r="F91" i="6"/>
  <c r="F86" i="6"/>
  <c r="F83" i="6"/>
  <c r="F71" i="6"/>
  <c r="F50" i="6"/>
  <c r="F49" i="6"/>
  <c r="F48" i="6"/>
  <c r="F46" i="6"/>
  <c r="F44" i="6"/>
  <c r="F42" i="6"/>
  <c r="F41" i="6"/>
  <c r="F38" i="6"/>
  <c r="F33" i="6"/>
  <c r="F30" i="6"/>
  <c r="F28" i="6"/>
  <c r="F25" i="6"/>
  <c r="F20" i="6"/>
  <c r="F17" i="6"/>
  <c r="F5" i="6"/>
  <c r="F56" i="5"/>
  <c r="F55" i="5"/>
  <c r="F54" i="5"/>
  <c r="F53" i="5"/>
  <c r="F52" i="5"/>
  <c r="D51" i="5"/>
  <c r="F51" i="5" s="1"/>
  <c r="F50" i="5"/>
  <c r="F49" i="5"/>
  <c r="F47" i="5"/>
  <c r="D46" i="5"/>
  <c r="F46" i="5" s="1"/>
  <c r="F45" i="5"/>
  <c r="F44" i="5"/>
  <c r="F43" i="5"/>
  <c r="F42" i="5"/>
  <c r="F41" i="5"/>
  <c r="F40" i="5"/>
  <c r="D38" i="5"/>
  <c r="F38" i="5" s="1"/>
  <c r="D37" i="5"/>
  <c r="F37" i="5" s="1"/>
  <c r="D36" i="5"/>
  <c r="F36" i="5" s="1"/>
  <c r="F35" i="5"/>
  <c r="F34" i="5"/>
  <c r="F33" i="5"/>
  <c r="F30" i="5"/>
  <c r="D29" i="5"/>
  <c r="F29" i="5" s="1"/>
  <c r="F28" i="5"/>
  <c r="F27" i="5"/>
  <c r="D26" i="5"/>
  <c r="F26" i="5" s="1"/>
  <c r="F25" i="5"/>
  <c r="D24" i="5"/>
  <c r="F24" i="5" s="1"/>
  <c r="D23" i="5"/>
  <c r="D32" i="5" s="1"/>
  <c r="F32" i="5" s="1"/>
  <c r="D22" i="5"/>
  <c r="F22" i="5" s="1"/>
  <c r="F21" i="5"/>
  <c r="F20" i="5"/>
  <c r="D19" i="5"/>
  <c r="F17" i="5"/>
  <c r="D16" i="5"/>
  <c r="F16" i="5" s="1"/>
  <c r="D15" i="5"/>
  <c r="F15" i="5" s="1"/>
  <c r="D14" i="5"/>
  <c r="F14" i="5" s="1"/>
  <c r="D13" i="5"/>
  <c r="F13" i="5" s="1"/>
  <c r="D12" i="5"/>
  <c r="F12" i="5" s="1"/>
  <c r="F11" i="5"/>
  <c r="D9" i="5"/>
  <c r="F9" i="5" s="1"/>
  <c r="F8" i="5"/>
  <c r="D7" i="5"/>
  <c r="F5" i="5"/>
  <c r="F157" i="3"/>
  <c r="F155" i="3"/>
  <c r="F154" i="3"/>
  <c r="F153" i="3"/>
  <c r="F152" i="3"/>
  <c r="F150" i="3"/>
  <c r="F149" i="3"/>
  <c r="F148" i="3"/>
  <c r="D146" i="3"/>
  <c r="D147" i="3" s="1"/>
  <c r="F147" i="3" s="1"/>
  <c r="D145" i="3"/>
  <c r="F145" i="3" s="1"/>
  <c r="D144" i="3"/>
  <c r="F144" i="3" s="1"/>
  <c r="F143" i="3"/>
  <c r="F140" i="3"/>
  <c r="D139" i="3"/>
  <c r="F139" i="3" s="1"/>
  <c r="F138" i="3"/>
  <c r="F137" i="3"/>
  <c r="D136" i="3"/>
  <c r="F136" i="3" s="1"/>
  <c r="F135" i="3"/>
  <c r="D134" i="3"/>
  <c r="F134" i="3" s="1"/>
  <c r="D133" i="3"/>
  <c r="F133" i="3" s="1"/>
  <c r="D132" i="3"/>
  <c r="F132" i="3" s="1"/>
  <c r="D131" i="3"/>
  <c r="F131" i="3" s="1"/>
  <c r="D130" i="3"/>
  <c r="F130" i="3" s="1"/>
  <c r="D129" i="3"/>
  <c r="F129" i="3" s="1"/>
  <c r="F127" i="3"/>
  <c r="D126" i="3"/>
  <c r="F126" i="3" s="1"/>
  <c r="D125" i="3"/>
  <c r="F125" i="3" s="1"/>
  <c r="D124" i="3"/>
  <c r="F124" i="3" s="1"/>
  <c r="D123" i="3"/>
  <c r="F123" i="3" s="1"/>
  <c r="D122" i="3"/>
  <c r="F122" i="3" s="1"/>
  <c r="D121" i="3"/>
  <c r="F121" i="3" s="1"/>
  <c r="D119" i="3"/>
  <c r="F119" i="3" s="1"/>
  <c r="F118" i="3"/>
  <c r="D116" i="3"/>
  <c r="D117" i="3" s="1"/>
  <c r="F115" i="3"/>
  <c r="F19" i="5" l="1"/>
  <c r="D18" i="5"/>
  <c r="F207" i="6"/>
  <c r="D10" i="6"/>
  <c r="F10" i="6" s="1"/>
  <c r="D97" i="6"/>
  <c r="D113" i="6" s="1"/>
  <c r="F113" i="6" s="1"/>
  <c r="F103" i="6"/>
  <c r="D219" i="6"/>
  <c r="F219" i="6" s="1"/>
  <c r="D128" i="3"/>
  <c r="F128" i="3" s="1"/>
  <c r="D239" i="6"/>
  <c r="F239" i="6" s="1"/>
  <c r="F160" i="6"/>
  <c r="D141" i="3"/>
  <c r="D151" i="3" s="1"/>
  <c r="F151" i="3" s="1"/>
  <c r="F23" i="6"/>
  <c r="F146" i="3"/>
  <c r="F203" i="6"/>
  <c r="D232" i="6"/>
  <c r="D247" i="6" s="1"/>
  <c r="F247" i="6" s="1"/>
  <c r="F176" i="8"/>
  <c r="F109" i="8"/>
  <c r="F78" i="8"/>
  <c r="D49" i="8"/>
  <c r="D73" i="8"/>
  <c r="D74" i="8"/>
  <c r="F74" i="8" s="1"/>
  <c r="D211" i="6"/>
  <c r="F211" i="6" s="1"/>
  <c r="D233" i="6"/>
  <c r="F233" i="6" s="1"/>
  <c r="D147" i="6"/>
  <c r="F147" i="6" s="1"/>
  <c r="F144" i="6"/>
  <c r="F143" i="6"/>
  <c r="D168" i="6"/>
  <c r="F173" i="6"/>
  <c r="F84" i="6"/>
  <c r="F139" i="6"/>
  <c r="F68" i="6"/>
  <c r="F90" i="6"/>
  <c r="F37" i="6"/>
  <c r="D31" i="6"/>
  <c r="F24" i="6"/>
  <c r="F36" i="6"/>
  <c r="F7" i="6"/>
  <c r="D73" i="6"/>
  <c r="D76" i="6" s="1"/>
  <c r="F85" i="6"/>
  <c r="F6" i="6"/>
  <c r="D98" i="6"/>
  <c r="F98" i="6" s="1"/>
  <c r="D39" i="5"/>
  <c r="F39" i="5" s="1"/>
  <c r="D31" i="5"/>
  <c r="D48" i="5" s="1"/>
  <c r="F48" i="5" s="1"/>
  <c r="F7" i="5"/>
  <c r="D10" i="5"/>
  <c r="F10" i="5" s="1"/>
  <c r="F23" i="5"/>
  <c r="F18" i="5"/>
  <c r="F6" i="5"/>
  <c r="F117" i="3"/>
  <c r="D120" i="3"/>
  <c r="F120" i="3" s="1"/>
  <c r="D142" i="3"/>
  <c r="F142" i="3" s="1"/>
  <c r="F116" i="3"/>
  <c r="F73" i="7" l="1"/>
  <c r="F74" i="7" s="1"/>
  <c r="D18" i="9" s="1"/>
  <c r="F75" i="4"/>
  <c r="D12" i="9" s="1"/>
  <c r="F97" i="6"/>
  <c r="F273" i="6"/>
  <c r="F141" i="3"/>
  <c r="F158" i="3" s="1"/>
  <c r="F177" i="3" s="1"/>
  <c r="F232" i="6"/>
  <c r="F256" i="6" s="1"/>
  <c r="D43" i="6"/>
  <c r="F43" i="6" s="1"/>
  <c r="F177" i="8"/>
  <c r="D7" i="9" s="1"/>
  <c r="D84" i="8"/>
  <c r="F84" i="8" s="1"/>
  <c r="F73" i="8"/>
  <c r="D52" i="8"/>
  <c r="F52" i="8" s="1"/>
  <c r="F49" i="8"/>
  <c r="F168" i="6"/>
  <c r="D178" i="6"/>
  <c r="F178" i="6" s="1"/>
  <c r="F31" i="6"/>
  <c r="F76" i="6"/>
  <c r="F73" i="6"/>
  <c r="F31" i="5"/>
  <c r="F57" i="5"/>
  <c r="F76" i="5" l="1"/>
  <c r="D13" i="9" s="1"/>
  <c r="F51" i="6"/>
  <c r="F69" i="6" s="1"/>
  <c r="D14" i="9" s="1"/>
  <c r="D8" i="9"/>
  <c r="F274" i="6"/>
  <c r="D17" i="9" s="1"/>
  <c r="D11" i="9"/>
  <c r="F186" i="6"/>
  <c r="F204" i="6" s="1"/>
  <c r="F92" i="8"/>
  <c r="F122" i="6"/>
  <c r="F140" i="6" s="1"/>
  <c r="F110" i="8" l="1"/>
  <c r="F243" i="8" s="1"/>
  <c r="D16" i="9"/>
  <c r="F113" i="3"/>
  <c r="F178" i="3" s="1"/>
  <c r="D15" i="9"/>
  <c r="D6" i="9" l="1"/>
  <c r="D10" i="9"/>
  <c r="D19" i="9" l="1"/>
  <c r="D26" i="9" s="1"/>
</calcChain>
</file>

<file path=xl/sharedStrings.xml><?xml version="1.0" encoding="utf-8"?>
<sst xmlns="http://schemas.openxmlformats.org/spreadsheetml/2006/main" count="3037" uniqueCount="323">
  <si>
    <t>SCHOOLS NAMES</t>
  </si>
  <si>
    <t>WASH INFRASTRUCTURE</t>
  </si>
  <si>
    <t>ESTIMATED AMOUNT (Rwf)</t>
  </si>
  <si>
    <t>GITEBWE</t>
  </si>
  <si>
    <t>ADEGI GITUZA</t>
  </si>
  <si>
    <t>BISETSA</t>
  </si>
  <si>
    <t>NYAGASOZI</t>
  </si>
  <si>
    <t>NYARUBUYE</t>
  </si>
  <si>
    <t>TVET GITUZA</t>
  </si>
  <si>
    <t>GRAND TOTAL</t>
  </si>
  <si>
    <t>BENEFICIERIES SCHOOLS/NAMES</t>
  </si>
  <si>
    <t>GIRLS ROOM SINGLE</t>
  </si>
  <si>
    <t>BUSETSA PS,ADEGI GITUZA,TVT GITUZA,NYAGISOZI PS</t>
  </si>
  <si>
    <t>GIRLS ROOM DOUBLE</t>
  </si>
  <si>
    <t>GITEBWE AND GS NYARUBUYE</t>
  </si>
  <si>
    <t>TOTAL</t>
  </si>
  <si>
    <t>BILL OF QUANTITIES FOR CONSTRUCTION OF VIP LATRINE  IN  SCHOOL GITEBWE PS / GATSIBO  DISTRICT</t>
  </si>
  <si>
    <t>1 CUBICLE PWD Toilet</t>
  </si>
  <si>
    <t>SN</t>
  </si>
  <si>
    <t>Designation</t>
  </si>
  <si>
    <t>Unit</t>
  </si>
  <si>
    <t xml:space="preserve">QTY </t>
  </si>
  <si>
    <t>Unit Price</t>
  </si>
  <si>
    <t>Total</t>
  </si>
  <si>
    <t>1</t>
  </si>
  <si>
    <t>Site installation and withdraw</t>
  </si>
  <si>
    <t>FF</t>
  </si>
  <si>
    <t>2</t>
  </si>
  <si>
    <t>Site clearing</t>
  </si>
  <si>
    <r>
      <t>m</t>
    </r>
    <r>
      <rPr>
        <vertAlign val="superscript"/>
        <sz val="11"/>
        <rFont val="Times New Roman"/>
        <family val="1"/>
      </rPr>
      <t>2</t>
    </r>
  </si>
  <si>
    <t>3</t>
  </si>
  <si>
    <t>Plot levering</t>
  </si>
  <si>
    <r>
      <t>m</t>
    </r>
    <r>
      <rPr>
        <vertAlign val="superscript"/>
        <sz val="11"/>
        <rFont val="Times New Roman"/>
        <family val="1"/>
      </rPr>
      <t>3</t>
    </r>
  </si>
  <si>
    <t>4</t>
  </si>
  <si>
    <t>Pit excavation up to 3 deep including maintaining and  supporting sides and keeping free from  water, mud and fallen materials</t>
  </si>
  <si>
    <t>5</t>
  </si>
  <si>
    <t>Backfilling around pit wall</t>
  </si>
  <si>
    <t>6</t>
  </si>
  <si>
    <t>Load and cart away from site, surplus soil</t>
  </si>
  <si>
    <t>7</t>
  </si>
  <si>
    <t>Blinding concrete to receive stone masonry pit walls Size: 40Cm wide and 5cm thick, ; Mixing ratio: 1:1.5:1.5</t>
  </si>
  <si>
    <t>8</t>
  </si>
  <si>
    <t>Construction of stone masonry foundations plinth walls. Size at the top 40 cm as thickness and 3.6m High using cement mortar mixed at: 1:4</t>
  </si>
  <si>
    <t>m3</t>
  </si>
  <si>
    <t>9</t>
  </si>
  <si>
    <t>Leveling Cement screed on pit wall with 5cm</t>
  </si>
  <si>
    <t>10</t>
  </si>
  <si>
    <t>RC Ground Beam on   pit wall (20x25 cm)</t>
  </si>
  <si>
    <t>11</t>
  </si>
  <si>
    <t>Internal pit wall plastering and cement finishing with hydrofuge</t>
  </si>
  <si>
    <t>m2</t>
  </si>
  <si>
    <t>12</t>
  </si>
  <si>
    <t>Gravel spread on the bottom area of the pit: 30cm thick layer of</t>
  </si>
  <si>
    <t>13</t>
  </si>
  <si>
    <t xml:space="preserve">Supply of portable unoxidable metallic ladder (alminium) with 6m length, 0.5m wide, steps at spaced at 25cm minimmum </t>
  </si>
  <si>
    <t>Pce</t>
  </si>
  <si>
    <t>14</t>
  </si>
  <si>
    <t xml:space="preserve">Main RC Cover slab:  15cm thick. Concrete Mix 1:1.5:1.5 </t>
  </si>
  <si>
    <t>15</t>
  </si>
  <si>
    <t xml:space="preserve">Removable Cover slab: 150mm thick Reinforced Concrete Mix 1:1.5:1.5 </t>
  </si>
  <si>
    <t>20</t>
  </si>
  <si>
    <t>Roffing</t>
  </si>
  <si>
    <t>ML</t>
  </si>
  <si>
    <t>23</t>
  </si>
  <si>
    <t>External   walling using clay burnt bricks with one brick thick,english cross bond</t>
  </si>
  <si>
    <t>25</t>
  </si>
  <si>
    <t>Supply and fix of Concrete vent blocks</t>
  </si>
  <si>
    <t>Pcs</t>
  </si>
  <si>
    <t>26</t>
  </si>
  <si>
    <t>40x60x1.5mm steel sections for roof structure</t>
  </si>
  <si>
    <t>mL</t>
  </si>
  <si>
    <t>27</t>
  </si>
  <si>
    <t>Roof covering using BG 28 Iron sheets with all accessories (Fixing materials, steel gutters and downspouts)</t>
  </si>
  <si>
    <t>28</t>
  </si>
  <si>
    <t>Supply and fix a 15x15x1.5mm MS gutter</t>
  </si>
  <si>
    <t>29</t>
  </si>
  <si>
    <t>Supply and fix a 20x1.5mm fascia board</t>
  </si>
  <si>
    <t>30</t>
  </si>
  <si>
    <t>Supply and fix a 110mm DIA PN 10 PVC down pipes with all accessories up to PVC rain water tanks.</t>
  </si>
  <si>
    <t>pcs</t>
  </si>
  <si>
    <t>32</t>
  </si>
  <si>
    <t>Cement plaster in two coats mix 1:3 polished patterned plaster to approval, 30mm thick on internal walls</t>
  </si>
  <si>
    <t>33</t>
  </si>
  <si>
    <t>Pointing of External walls using cement mortar of a mixng ration: 1-2</t>
  </si>
  <si>
    <t>34</t>
  </si>
  <si>
    <t>Supply and fix 110mm DIA PN 6 vent pipes (4.5m high) with all accessories as per the design</t>
  </si>
  <si>
    <t>36</t>
  </si>
  <si>
    <t>Supply and fix a wall mounted 2mm thick-40mm DIA Steel toilet Grab bars handles for disabled On both sides.</t>
  </si>
  <si>
    <t>pce</t>
  </si>
  <si>
    <t>37</t>
  </si>
  <si>
    <t>Skirting</t>
  </si>
  <si>
    <t>38</t>
  </si>
  <si>
    <t xml:space="preserve">Screed: 50mm thick Cement mortar Floor screading </t>
  </si>
  <si>
    <t>39</t>
  </si>
  <si>
    <t>Floor finishing with with smooth cement</t>
  </si>
  <si>
    <t>40</t>
  </si>
  <si>
    <t>Floor finishing with with rougth cement</t>
  </si>
  <si>
    <t>42</t>
  </si>
  <si>
    <t>Supply and Insatallation of  WC (WC A Langlaise )For Diosabled Toilet,it must be of the best Quality Approved by Clients</t>
  </si>
  <si>
    <t>43</t>
  </si>
  <si>
    <t>supply and Installation of sink (For Disabled Students (Original Quality)</t>
  </si>
  <si>
    <t>44</t>
  </si>
  <si>
    <t>Wooden chairs for people living with disability</t>
  </si>
  <si>
    <t>45</t>
  </si>
  <si>
    <t>Plaster rendering using coatings mixing ratio on urinals area and basin area: 1-3</t>
  </si>
  <si>
    <t>46</t>
  </si>
  <si>
    <t>Painting on guttes, roof trusses and purlines</t>
  </si>
  <si>
    <t>47</t>
  </si>
  <si>
    <t xml:space="preserve">Emulsion paint to plastered surfaces on internal walls </t>
  </si>
  <si>
    <t>49</t>
  </si>
  <si>
    <t>120x210 Cm glazed metallic window with all accessories; paint in 2 coats; anti rusting for the 1st coating and oil paint for the second coat with the collor selected by the client)</t>
  </si>
  <si>
    <t>54</t>
  </si>
  <si>
    <t xml:space="preserve">Top cover: 100 thick RCC Concrete using class 25 concrete </t>
  </si>
  <si>
    <t>ST1</t>
  </si>
  <si>
    <t>GRAND TOTAL OF PWD TOILET  BLOCK    (ALL TAXES INCLUSIVE)</t>
  </si>
  <si>
    <t>20 CUBICLE FOR BOYS &amp; GIRLS' TOILETS</t>
  </si>
  <si>
    <t>16</t>
  </si>
  <si>
    <t>ml</t>
  </si>
  <si>
    <t>17</t>
  </si>
  <si>
    <t xml:space="preserve">Reinforced concrete for columns. Concrete Mix 1:1.5:1.5 </t>
  </si>
  <si>
    <t>18</t>
  </si>
  <si>
    <t>Reinforced concrete ring beams. Concrete Mix 1:1.5:1.5</t>
  </si>
  <si>
    <t>19</t>
  </si>
  <si>
    <t>Internal walling using clay burnt bricks with half brick thick ,strecther bond</t>
  </si>
  <si>
    <t>21</t>
  </si>
  <si>
    <t>22</t>
  </si>
  <si>
    <t>Roof covering using BG 28 Iron sheets with all accessories (Fixing materials)</t>
  </si>
  <si>
    <t>24</t>
  </si>
  <si>
    <t>31</t>
  </si>
  <si>
    <t>Supply and fix a smart and fresh SATO plastic toilet with a self-sealing trap door for shuting out fliers, other insects and odors.</t>
  </si>
  <si>
    <t>35</t>
  </si>
  <si>
    <t>supply and Installation of hand wash basin accompanied with water tape</t>
  </si>
  <si>
    <t>supply and Installation of Urinals for men</t>
  </si>
  <si>
    <t>90x210 Cm Wooden door with all accessories, inside and outside door lockers, inside and outside paint in 2 coats and oil paint for with the color selected by the client)</t>
  </si>
  <si>
    <t xml:space="preserve">RCC Concrete casting using class 25 concrete for the ground gutter for urinals and Basin </t>
  </si>
  <si>
    <t>41</t>
  </si>
  <si>
    <t>Supply and lay a 90mm DIA PN 10 Perforated PVC pipes</t>
  </si>
  <si>
    <t>Supply and lay a 90mm DIA PN 10 PVC drainage pipe with all accessories up to the pit. (Excavation of a trensh, protection of the pipe using sand, laying the pipe with all accessories and soil backfilling)</t>
  </si>
  <si>
    <t>Supply and place a gully trap installed in a well covered 500x500x3mm manhole</t>
  </si>
  <si>
    <t>Retaining wall</t>
  </si>
  <si>
    <t xml:space="preserve">Rain water collection From Toilet  </t>
  </si>
  <si>
    <t>Ground preparation</t>
  </si>
  <si>
    <t>Construction of stone masonry foundations base of 1m High using cement mortar mixed at: 1:3</t>
  </si>
  <si>
    <t>Leveling Cement screed on foundation  (0.08x0.3m) mixing ratio: 1-3</t>
  </si>
  <si>
    <t>Supply and place a 5m3 PVC water tank (transport inclusive)</t>
  </si>
  <si>
    <t>Pc</t>
  </si>
  <si>
    <t>Construction of a stone masonry featching fountain as per the desing a 500x500x1m inspection chamber incusive</t>
  </si>
  <si>
    <t>Finishes works on the fetching fountain using waterprofing plasters</t>
  </si>
  <si>
    <t>Pointing of External of axternal surfaces of the plinth wall of a mixng ration: 1-2</t>
  </si>
  <si>
    <t>Supply and install a 110mm DIA PN 6 PVC overflor pipe with all accassories</t>
  </si>
  <si>
    <t>Supply and install a 75mm DIA PN 10 PVC washout pipe with a valve.</t>
  </si>
  <si>
    <t>Supply and install a 32mm DIA PN 10 GI pipe with a valve and a tap.</t>
  </si>
  <si>
    <t>Excavations of a 1m DIA 5m deep soak pit</t>
  </si>
  <si>
    <t xml:space="preserve">Filling inside stones </t>
  </si>
  <si>
    <t>Construction of a 1m high/300mm thick stone masonry protection wall on the top part of the soakpit up to the ground level</t>
  </si>
  <si>
    <t>Supply of a good soil, planting of hornomantal trees and flowers, making walking stone paved way for gardening and beautification all around toilets and the rain water tank .</t>
  </si>
  <si>
    <t xml:space="preserve">ST2 FOR 1 WATER TANK </t>
  </si>
  <si>
    <t>GRAND TOTAL OF BOYS &amp; GIRLS' TOILET  BLOCK    (ALL TAXES INCLUSIVE)</t>
  </si>
  <si>
    <t>20 CUBICLE BOYS' TOILETS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</si>
  <si>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</si>
  <si>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r>
      <t>m</t>
    </r>
    <r>
      <rPr>
        <vertAlign val="superscript"/>
        <sz val="11"/>
        <color theme="1"/>
        <rFont val="Times New Roman"/>
        <family val="1"/>
      </rPr>
      <t>3</t>
    </r>
  </si>
  <si>
    <t>48</t>
  </si>
  <si>
    <t>51</t>
  </si>
  <si>
    <t>52</t>
  </si>
  <si>
    <t>53</t>
  </si>
  <si>
    <t>55</t>
  </si>
  <si>
    <t>59</t>
  </si>
  <si>
    <t>GRAND TOTAL OF BOYS' TOILET  BLOCK    (ALL TAXES INCLUSIVE)</t>
  </si>
  <si>
    <t>20 CUBICLES GIRLS' TOILETS</t>
  </si>
  <si>
    <t>56</t>
  </si>
  <si>
    <t xml:space="preserve">ST2 </t>
  </si>
  <si>
    <t>ST2 FOR 2 WATER TANKS</t>
  </si>
  <si>
    <t>GRAND TOTAL OF GIRLS' TOILET  BLOCK    (ALL TAXES INCLUSIVE)</t>
  </si>
  <si>
    <t xml:space="preserve">GENERAL TOTAL </t>
  </si>
  <si>
    <t>BILL OF QUANTITIES FOR CONSTRUCTION OF VIP LATRINE  IN ONE SCHOOL ADEGI GITUZA /GATSIBO  DISTRICT</t>
  </si>
  <si>
    <t>BoQ for constructing VIP cubicle latrinres  ADEGI GITUZA</t>
  </si>
  <si>
    <t>1 CUBICLE FOR PWD Toilet</t>
  </si>
  <si>
    <t>Unit Price(Frw)</t>
  </si>
  <si>
    <t>12 CUBICLE  BOYS' TOILET</t>
  </si>
  <si>
    <t>Supply and fix 110mm DIA PN 6 vent pipes (2.8m high) with all accessories as per the design</t>
  </si>
  <si>
    <t>Rain water Collection system   for toilet</t>
  </si>
  <si>
    <t xml:space="preserve">ST2 FOR 2 WATER TANKS </t>
  </si>
  <si>
    <t>12 CUBICLE S GIRLS' TOILET</t>
  </si>
  <si>
    <t>Rian water collection for toilet</t>
  </si>
  <si>
    <t>BILL OF QUANTITIES FOR CONSTRUCTION OF VIP LATRINE  IN BUSETSA PS</t>
  </si>
  <si>
    <t>BoQ for constructing VIP cubicle latrinres and installation of  All sanitary system</t>
  </si>
  <si>
    <t xml:space="preserve"> BOYS, GIRLS &amp; PWD'S( 12 Cubicles with 1 for PWD)</t>
  </si>
  <si>
    <t>50</t>
  </si>
  <si>
    <t>Rain water collection   for toilet</t>
  </si>
  <si>
    <t>GRAND TOTAL OF BOYS, GIRLS &amp; PWD'S TOILET  BLOCK    (ALL TAXES INCLUSIVE)</t>
  </si>
  <si>
    <t>BILL OF QUANTITIES FOR CONSTRUCTION OF VIP LATRINE  IN ONE SCHOOL NYAGISOZI PS / GATSIBO  DISTRICT</t>
  </si>
  <si>
    <t>BoQ for constructing VIP cubicle latrinres NYAGISOZI PS</t>
  </si>
  <si>
    <t xml:space="preserve">BOYS, GIRLS &amp; PWD' S TOILETS( 12 Cubicle with 1 Cubicle for PWD) </t>
  </si>
  <si>
    <t>Collection of Rain water from Toilet</t>
  </si>
  <si>
    <t xml:space="preserve">ST2  </t>
  </si>
  <si>
    <t>BILL OF QUANTITIES FOR CONSTRUCTION OF VIP LATRINE  IN ONE SCHOOL IN GATSIBO  DISTRICT</t>
  </si>
  <si>
    <t>BoQ for constructing VIP cubicle latrinres /GS NYARUBUYE</t>
  </si>
  <si>
    <t>20 CUBICLES BOYS' TOILETS</t>
  </si>
  <si>
    <t>collection of Rain water from Toilet</t>
  </si>
  <si>
    <t>ST2</t>
  </si>
  <si>
    <t>BOYS &amp; PWD'S TOILETS(16 CUBICLE with 1 Door For PWD)</t>
  </si>
  <si>
    <t>GRAND TOTAL OF BOYS &amp; PWD'S TOILET  BLOCK    (ALL TAXES INCLUSIVE)</t>
  </si>
  <si>
    <t>Collection of Rain water from toilet</t>
  </si>
  <si>
    <t>GIRLS &amp; PWD'S TOILETS(16 CUBICLES With 1 cubicle for PWD)</t>
  </si>
  <si>
    <t>Rain water collection system</t>
  </si>
  <si>
    <t>BoQ for constructing VIP cubicle latrinres TVET GITUZA</t>
  </si>
  <si>
    <t xml:space="preserve"> BOYS, GIRLS &amp; PWD'S(6 For boys and 6 Girls with 1for PWD</t>
  </si>
  <si>
    <t>,</t>
  </si>
  <si>
    <t>Rain water collection from Toilet</t>
  </si>
  <si>
    <t>ST2 FOR 1 WATER TANK</t>
  </si>
  <si>
    <t> </t>
  </si>
  <si>
    <t>Construction of  Twin Girl's Rooms</t>
  </si>
  <si>
    <t>No</t>
  </si>
  <si>
    <t>DESCRIPTION</t>
  </si>
  <si>
    <t xml:space="preserve">UNITY </t>
  </si>
  <si>
    <t>QTY</t>
  </si>
  <si>
    <t xml:space="preserve"> U.P[Rwf] </t>
  </si>
  <si>
    <t xml:space="preserve"> T.P[Rwf] </t>
  </si>
  <si>
    <t>PRELIMINARY WORKS</t>
  </si>
  <si>
    <t>Setting out</t>
  </si>
  <si>
    <t>LS</t>
  </si>
  <si>
    <t>S/Total</t>
  </si>
  <si>
    <t>GENERAL SITE PREPARATION &amp; FOUNDATION WORKS</t>
  </si>
  <si>
    <t>Clear site of all bushes, tree plants, shrubs and dispose of in an appropriate area</t>
  </si>
  <si>
    <r>
      <t>m</t>
    </r>
    <r>
      <rPr>
        <vertAlign val="superscript"/>
        <sz val="12"/>
        <rFont val="Times New Roman"/>
        <family val="1"/>
      </rPr>
      <t>2</t>
    </r>
  </si>
  <si>
    <t>Excavate to reduce levels commencing at stripped levels not exceeding 0.5m deep</t>
  </si>
  <si>
    <r>
      <t>m</t>
    </r>
    <r>
      <rPr>
        <vertAlign val="superscript"/>
        <sz val="12"/>
        <rFont val="Times New Roman"/>
        <family val="1"/>
      </rPr>
      <t>3</t>
    </r>
  </si>
  <si>
    <t xml:space="preserve">Earth works in Excavation of foundation trenches </t>
  </si>
  <si>
    <t xml:space="preserve">50 mm thick Blinding concrete in foundation trenches </t>
  </si>
  <si>
    <t>Stonework foundation</t>
  </si>
  <si>
    <t xml:space="preserve">Backfilling and soil compaction around foundation walls </t>
  </si>
  <si>
    <t>Dump proof course of 2 Cm thick</t>
  </si>
  <si>
    <t>Lm</t>
  </si>
  <si>
    <t>Wall masonry and concrete</t>
  </si>
  <si>
    <t xml:space="preserve">Elevation of interior and exterior walls with burnt bricks bound together with cement mortar </t>
  </si>
  <si>
    <r>
      <t>m</t>
    </r>
    <r>
      <rPr>
        <vertAlign val="superscript"/>
        <sz val="12"/>
        <color rgb="FF000000"/>
        <rFont val="Times New Roman"/>
        <family val="1"/>
      </rPr>
      <t>3</t>
    </r>
  </si>
  <si>
    <t>Mansory for ventillation holes (claustra)</t>
  </si>
  <si>
    <t>reinforced concrete lintel</t>
  </si>
  <si>
    <t>Sub-Total</t>
  </si>
  <si>
    <t>ROOF</t>
  </si>
  <si>
    <t>Metal trusses(60*40)mm, purlins  40mm*40mm and the cylendrical metallic columnsƟ90mm.</t>
  </si>
  <si>
    <t>Supply &amp; fixation of BG 28 roofing materials of appproved quality and all requirements</t>
  </si>
  <si>
    <t>CEILING</t>
  </si>
  <si>
    <t>Supply and fixation of strip ceiling (Languette)  and all requirements for the ceiling.</t>
  </si>
  <si>
    <t>DOORS &amp; WINDOWS</t>
  </si>
  <si>
    <t>Doors</t>
  </si>
  <si>
    <t>Supply and fixation of 100*210 cm metallic  door with locking system and all requirements</t>
  </si>
  <si>
    <t>Supply and fixation of 100*210 cm glazed metallic door with transom, lock and all requirements</t>
  </si>
  <si>
    <t>Windows</t>
  </si>
  <si>
    <t>5.2.1</t>
  </si>
  <si>
    <t xml:space="preserve"> Supply and fixation of 100*150 cm  glazed metallic window and all requirements</t>
  </si>
  <si>
    <t>5.2.3</t>
  </si>
  <si>
    <t xml:space="preserve"> Supply and fixation of 50*70 cm glazed metallic window and all requirements</t>
  </si>
  <si>
    <t>FLOORING FINISHES</t>
  </si>
  <si>
    <t xml:space="preserve">Floor tiling and skirting </t>
  </si>
  <si>
    <t>PLASTERING, RENDERING &amp; WALL FINISHES</t>
  </si>
  <si>
    <t>Internal Wall plastering and rendering</t>
  </si>
  <si>
    <t>PAINTING WORKS</t>
  </si>
  <si>
    <t>Wall painting with emulsion paints</t>
  </si>
  <si>
    <t>Wall tiling in Girls porch till 2 meters height</t>
  </si>
  <si>
    <t>SANITARY WORKS</t>
  </si>
  <si>
    <t>Sanitary appliances</t>
  </si>
  <si>
    <t>Supply and fixation of wash hand basins.complete of good quality with accesssories and all requirements</t>
  </si>
  <si>
    <t>Ceramic W.C Toilet (english toilet)</t>
  </si>
  <si>
    <t>Pces</t>
  </si>
  <si>
    <t>Supply and  installation of shower flexible fountain and  ceramic Shower Surface with taps</t>
  </si>
  <si>
    <t>Pipes+Installation cost+ Connection to Nearest Network, etc.</t>
  </si>
  <si>
    <t>Masonry of elevation made in quarry stone for laying out plastic tanks to be elevated 1meter high and 0.5m deep in foundation including all related earth works</t>
  </si>
  <si>
    <t>Repointing on masonry stand made of hydro cement</t>
  </si>
  <si>
    <t>Water proof to protect tank stand</t>
  </si>
  <si>
    <t>Guang or Galvanized  pipes 1/2" (in sinks and wc)</t>
  </si>
  <si>
    <t>lm</t>
  </si>
  <si>
    <t>Supply and installation of a standard water tank  5 m3,  rainwater to be connected to the The Existant Water supply system and laid to the Constructed stand made in stone masonery</t>
  </si>
  <si>
    <t>Elbow from the gutter DN 90" PN 6"</t>
  </si>
  <si>
    <t>Pipe to gutters and DN 90" PN 6"</t>
  </si>
  <si>
    <t>Elbow into the tank DN 90" PN 6"</t>
  </si>
  <si>
    <t>Metalic tube supporting the pipe from gutters to the tank</t>
  </si>
  <si>
    <t>Elbow DN 90" PN 6" for the wash-out pipe</t>
  </si>
  <si>
    <t>Pipe for wash out DN 90" and PN 6"</t>
  </si>
  <si>
    <t>Elbow at the bottom of the wash-out pipe DN 90" PN 6"</t>
  </si>
  <si>
    <t>Valve Talbot tap</t>
  </si>
  <si>
    <t>Wash out tap during cleaning</t>
  </si>
  <si>
    <t>Shower porch for girls</t>
  </si>
  <si>
    <t>Simple bed (190*90 cm) made of eucalyptus</t>
  </si>
  <si>
    <t>Simple matelas, best quality Approved by clients</t>
  </si>
  <si>
    <t>2 pairs of simple bed sheets</t>
  </si>
  <si>
    <t xml:space="preserve">Simple Bed cover </t>
  </si>
  <si>
    <t>Simple Towels</t>
  </si>
  <si>
    <t>Soap holder and its fixation</t>
  </si>
  <si>
    <t>Towel holder and its fixation</t>
  </si>
  <si>
    <t xml:space="preserve">Simple curtains wooden holder and their fixation </t>
  </si>
  <si>
    <t>Curtains</t>
  </si>
  <si>
    <t>Porte manteau made of woods</t>
  </si>
  <si>
    <t>Dozen of pads</t>
  </si>
  <si>
    <t>Dozen</t>
  </si>
  <si>
    <t>Small brush</t>
  </si>
  <si>
    <t>Big brush for pit holes</t>
  </si>
  <si>
    <t xml:space="preserve">Supply and fixation of Full-length mirror </t>
  </si>
  <si>
    <t xml:space="preserve">Supply and fixation of wooden cupboards </t>
  </si>
  <si>
    <t>ELECTRICITY</t>
  </si>
  <si>
    <t>Supply &amp; fixation of electrical cables</t>
  </si>
  <si>
    <t>Ls</t>
  </si>
  <si>
    <t>Supply and fixation of Bulbs.complete of good quality with accesssories and all requirements</t>
  </si>
  <si>
    <t>Supply and fixation of Incandesent tube Light .complete of good quality with accesssories and all requirements</t>
  </si>
  <si>
    <t>Supply and fixation of Switches. complete of good quality with accesssories and all requirements</t>
  </si>
  <si>
    <t>Supply and fixation of Plugs.complete of good quality with accesssories and all requirements</t>
  </si>
  <si>
    <t>EVACUATION</t>
  </si>
  <si>
    <t>Soak away  pit ( 12m deep) filled with stones for the Menstrual hygienic room. Shower wastewater, gutters rainwater of the MHR should be channeled in this pit</t>
  </si>
  <si>
    <t>Quarry stone foundation for 1 meter depth of the soak away pit (1m*0.20 m thickness)</t>
  </si>
  <si>
    <t>Cover of the soak away pit in a reinforced concrete (d=1.10 m)</t>
  </si>
  <si>
    <t>Stone to fill in the soak away pit for the MHR</t>
  </si>
  <si>
    <t>Supply and installation of 3.5 cum plastic septic tank for sewerage  from MHR</t>
  </si>
  <si>
    <t>DRAINAGE WORKS</t>
  </si>
  <si>
    <t xml:space="preserve">Supply and installation of drainage pipes </t>
  </si>
  <si>
    <t>G.TOTAL FOR 1 ROOM (TAX INCLUSIVE)</t>
  </si>
  <si>
    <t>TOTAL FOR 2 GIRLS ROOM (TAX INCLUSIVE)</t>
  </si>
  <si>
    <t>Construction of  Single  Girl's Rooms</t>
  </si>
  <si>
    <t xml:space="preserve">Supply and fixation of 80*210 cm wooden door with locking system and all requirements
</t>
  </si>
  <si>
    <t>Supply and fixation of 150*240 cm glazed metallic door with transom, lock and all requirements</t>
  </si>
  <si>
    <t>-</t>
  </si>
  <si>
    <t xml:space="preserve">Simple matelas, Best Quality Approved by client </t>
  </si>
  <si>
    <t>Soak away  pit ( 6m deep) filled with stones for the Menstrual hygienic room. Shower wastewater, gutters rainwater of the MHR should be channeled in this pit</t>
  </si>
  <si>
    <t>TOTAL FOR 4  GIRLS ROOM (TAX INCLUSIVE)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</si>
</sst>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  <scheme val="minor"/>
    </font>
    <font>
      <b/>
      <sz val="12"/>
      <color theme="1"/>
      <name val="Gill Sans MT"/>
      <family val="2"/>
    </font>
    <font>
      <b/>
      <sz val="11"/>
      <color theme="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vertAlign val="superscript"/>
      <sz val="11"/>
      <name val="Times New Roman"/>
      <family val="1"/>
    </font>
    <font>
      <b/>
      <sz val="12"/>
      <name val="Gill Sans MT"/>
      <family val="2"/>
    </font>
    <font>
      <b/>
      <sz val="14"/>
      <name val="Times New Roman"/>
      <family val="1"/>
    </font>
    <font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vertAlign val="superscript"/>
      <sz val="12"/>
      <name val="Times New Roman"/>
      <family val="1"/>
    </font>
    <font>
      <sz val="12"/>
      <name val="Gill Sans MT"/>
      <family val="2"/>
    </font>
    <font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2"/>
      <color rgb="FF000000"/>
      <name val="Times New Roman"/>
      <family val="1"/>
    </font>
    <font>
      <sz val="12"/>
      <color rgb="FF000000"/>
      <name val="Gill Sans MT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D865"/>
        <bgColor rgb="FF000000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3" fillId="0" borderId="0">
      <alignment vertical="center"/>
    </xf>
    <xf numFmtId="0" fontId="2" fillId="0" borderId="0"/>
    <xf numFmtId="0" fontId="28" fillId="0" borderId="0">
      <protection locked="0"/>
    </xf>
    <xf numFmtId="164" fontId="24" fillId="0" borderId="0">
      <alignment vertical="top"/>
      <protection locked="0"/>
    </xf>
    <xf numFmtId="0" fontId="28" fillId="0" borderId="0">
      <protection locked="0"/>
    </xf>
    <xf numFmtId="0" fontId="28" fillId="0" borderId="0">
      <protection locked="0"/>
    </xf>
  </cellStyleXfs>
  <cellXfs count="409">
    <xf numFmtId="0" fontId="0" fillId="0" borderId="0" xfId="0"/>
    <xf numFmtId="0" fontId="0" fillId="0" borderId="0" xfId="0" applyAlignment="1">
      <alignment vertical="top"/>
    </xf>
    <xf numFmtId="49" fontId="5" fillId="0" borderId="1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horizontal="center" vertical="top"/>
      <protection locked="0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center" vertical="top"/>
      <protection locked="0"/>
    </xf>
    <xf numFmtId="43" fontId="5" fillId="0" borderId="1" xfId="1" applyFont="1" applyFill="1" applyBorder="1" applyAlignment="1" applyProtection="1">
      <alignment horizontal="right" vertical="top"/>
      <protection locked="0"/>
    </xf>
    <xf numFmtId="164" fontId="5" fillId="0" borderId="1" xfId="1" applyNumberFormat="1" applyFont="1" applyFill="1" applyBorder="1" applyAlignment="1" applyProtection="1">
      <alignment horizontal="right" vertical="top"/>
      <protection locked="0"/>
    </xf>
    <xf numFmtId="164" fontId="6" fillId="0" borderId="1" xfId="1" applyNumberFormat="1" applyFont="1" applyFill="1" applyBorder="1" applyAlignment="1" applyProtection="1">
      <alignment horizontal="right" vertical="top"/>
      <protection locked="0"/>
    </xf>
    <xf numFmtId="49" fontId="5" fillId="0" borderId="5" xfId="0" applyNumberFormat="1" applyFont="1" applyBorder="1" applyAlignment="1" applyProtection="1">
      <alignment horizontal="left" vertical="top" wrapText="1"/>
      <protection locked="0"/>
    </xf>
    <xf numFmtId="164" fontId="5" fillId="0" borderId="5" xfId="1" applyNumberFormat="1" applyFont="1" applyFill="1" applyBorder="1" applyAlignment="1" applyProtection="1">
      <alignment horizontal="right" vertical="top"/>
      <protection locked="0"/>
    </xf>
    <xf numFmtId="49" fontId="4" fillId="3" borderId="2" xfId="0" applyNumberFormat="1" applyFont="1" applyFill="1" applyBorder="1" applyAlignment="1" applyProtection="1">
      <alignment horizontal="left" vertical="top" wrapText="1"/>
      <protection locked="0"/>
    </xf>
    <xf numFmtId="49" fontId="4" fillId="3" borderId="2" xfId="0" applyNumberFormat="1" applyFont="1" applyFill="1" applyBorder="1" applyAlignment="1" applyProtection="1">
      <alignment horizontal="center" vertical="top"/>
      <protection locked="0"/>
    </xf>
    <xf numFmtId="164" fontId="4" fillId="3" borderId="2" xfId="1" applyNumberFormat="1" applyFont="1" applyFill="1" applyBorder="1" applyAlignment="1" applyProtection="1">
      <alignment horizontal="right" vertical="top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center" vertical="top"/>
      <protection locked="0"/>
    </xf>
    <xf numFmtId="164" fontId="5" fillId="3" borderId="2" xfId="1" applyNumberFormat="1" applyFont="1" applyFill="1" applyBorder="1" applyAlignment="1" applyProtection="1">
      <alignment horizontal="right" vertical="top"/>
      <protection locked="0"/>
    </xf>
    <xf numFmtId="43" fontId="5" fillId="3" borderId="2" xfId="1" applyFont="1" applyFill="1" applyBorder="1" applyAlignment="1" applyProtection="1">
      <alignment horizontal="right" vertical="top"/>
      <protection locked="0"/>
    </xf>
    <xf numFmtId="49" fontId="5" fillId="3" borderId="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 applyAlignment="1">
      <alignment vertical="center" wrapText="1"/>
    </xf>
    <xf numFmtId="49" fontId="15" fillId="3" borderId="2" xfId="0" applyNumberFormat="1" applyFont="1" applyFill="1" applyBorder="1" applyAlignment="1" applyProtection="1">
      <alignment horizontal="center" vertical="top" wrapText="1"/>
      <protection locked="0"/>
    </xf>
    <xf numFmtId="49" fontId="9" fillId="0" borderId="3" xfId="0" applyNumberFormat="1" applyFont="1" applyBorder="1" applyAlignment="1" applyProtection="1">
      <alignment horizontal="center" vertical="top"/>
      <protection locked="0"/>
    </xf>
    <xf numFmtId="49" fontId="9" fillId="0" borderId="0" xfId="0" applyNumberFormat="1" applyFont="1" applyAlignment="1" applyProtection="1">
      <alignment horizontal="center" vertical="top"/>
      <protection locked="0"/>
    </xf>
    <xf numFmtId="49" fontId="9" fillId="0" borderId="4" xfId="0" applyNumberFormat="1" applyFont="1" applyBorder="1" applyAlignment="1" applyProtection="1">
      <alignment horizontal="center" vertical="top"/>
      <protection locked="0"/>
    </xf>
    <xf numFmtId="43" fontId="4" fillId="5" borderId="2" xfId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vertical="top"/>
    </xf>
    <xf numFmtId="49" fontId="5" fillId="0" borderId="8" xfId="0" applyNumberFormat="1" applyFont="1" applyBorder="1" applyAlignment="1" applyProtection="1">
      <alignment horizontal="left" vertical="top" wrapText="1"/>
      <protection locked="0"/>
    </xf>
    <xf numFmtId="164" fontId="5" fillId="0" borderId="9" xfId="1" applyNumberFormat="1" applyFont="1" applyFill="1" applyBorder="1" applyAlignment="1" applyProtection="1">
      <alignment horizontal="right" vertical="top"/>
      <protection locked="0"/>
    </xf>
    <xf numFmtId="43" fontId="5" fillId="0" borderId="9" xfId="1" applyFont="1" applyFill="1" applyBorder="1" applyAlignment="1" applyProtection="1">
      <alignment horizontal="right" vertical="top"/>
      <protection locked="0"/>
    </xf>
    <xf numFmtId="49" fontId="5" fillId="0" borderId="2" xfId="0" applyNumberFormat="1" applyFont="1" applyBorder="1" applyAlignment="1" applyProtection="1">
      <alignment horizontal="center" vertical="top"/>
      <protection locked="0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43" fontId="0" fillId="0" borderId="2" xfId="0" applyNumberFormat="1" applyBorder="1"/>
    <xf numFmtId="0" fontId="1" fillId="0" borderId="0" xfId="0" applyFont="1"/>
    <xf numFmtId="0" fontId="1" fillId="8" borderId="2" xfId="0" applyFont="1" applyFill="1" applyBorder="1"/>
    <xf numFmtId="49" fontId="6" fillId="0" borderId="5" xfId="0" applyNumberFormat="1" applyFont="1" applyBorder="1" applyAlignment="1" applyProtection="1">
      <alignment horizontal="left" vertical="top" wrapText="1"/>
      <protection locked="0"/>
    </xf>
    <xf numFmtId="49" fontId="6" fillId="0" borderId="5" xfId="0" applyNumberFormat="1" applyFont="1" applyBorder="1" applyAlignment="1" applyProtection="1">
      <alignment horizontal="center" vertical="top"/>
      <protection locked="0"/>
    </xf>
    <xf numFmtId="164" fontId="6" fillId="0" borderId="5" xfId="1" applyNumberFormat="1" applyFont="1" applyFill="1" applyBorder="1" applyAlignment="1" applyProtection="1">
      <alignment horizontal="right" vertical="top"/>
      <protection locked="0"/>
    </xf>
    <xf numFmtId="49" fontId="5" fillId="0" borderId="17" xfId="0" applyNumberFormat="1" applyFont="1" applyBorder="1" applyAlignment="1" applyProtection="1">
      <alignment horizontal="center" vertical="top" wrapText="1"/>
      <protection locked="0"/>
    </xf>
    <xf numFmtId="49" fontId="5" fillId="0" borderId="17" xfId="0" applyNumberFormat="1" applyFont="1" applyBorder="1" applyAlignment="1" applyProtection="1">
      <alignment horizontal="left" vertical="top" wrapText="1"/>
      <protection locked="0"/>
    </xf>
    <xf numFmtId="49" fontId="5" fillId="0" borderId="17" xfId="0" applyNumberFormat="1" applyFont="1" applyBorder="1" applyAlignment="1" applyProtection="1">
      <alignment horizontal="center" vertical="top"/>
      <protection locked="0"/>
    </xf>
    <xf numFmtId="164" fontId="5" fillId="0" borderId="17" xfId="1" applyNumberFormat="1" applyFont="1" applyFill="1" applyBorder="1" applyAlignment="1" applyProtection="1">
      <alignment horizontal="right" vertical="top"/>
      <protection locked="0"/>
    </xf>
    <xf numFmtId="49" fontId="6" fillId="0" borderId="2" xfId="0" applyNumberFormat="1" applyFont="1" applyBorder="1" applyAlignment="1" applyProtection="1">
      <alignment horizontal="center" vertical="top" wrapText="1"/>
      <protection locked="0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2" xfId="0" applyNumberFormat="1" applyFont="1" applyBorder="1" applyAlignment="1" applyProtection="1">
      <alignment horizontal="center" vertical="top"/>
      <protection locked="0"/>
    </xf>
    <xf numFmtId="164" fontId="6" fillId="0" borderId="2" xfId="1" applyNumberFormat="1" applyFont="1" applyFill="1" applyBorder="1" applyAlignment="1" applyProtection="1">
      <alignment horizontal="right" vertical="top"/>
      <protection locked="0"/>
    </xf>
    <xf numFmtId="43" fontId="6" fillId="0" borderId="5" xfId="1" applyFont="1" applyFill="1" applyBorder="1" applyAlignment="1" applyProtection="1">
      <alignment horizontal="right" vertical="top"/>
      <protection locked="0"/>
    </xf>
    <xf numFmtId="43" fontId="4" fillId="5" borderId="6" xfId="1" applyFont="1" applyFill="1" applyBorder="1" applyAlignment="1" applyProtection="1">
      <alignment horizontal="right" vertical="top"/>
      <protection locked="0"/>
    </xf>
    <xf numFmtId="0" fontId="0" fillId="10" borderId="0" xfId="0" applyFill="1"/>
    <xf numFmtId="43" fontId="6" fillId="0" borderId="1" xfId="1" applyFont="1" applyFill="1" applyBorder="1" applyAlignment="1" applyProtection="1">
      <alignment horizontal="right" vertical="top"/>
      <protection locked="0"/>
    </xf>
    <xf numFmtId="164" fontId="0" fillId="0" borderId="0" xfId="1" applyNumberFormat="1" applyFont="1"/>
    <xf numFmtId="49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top"/>
      <protection locked="0"/>
    </xf>
    <xf numFmtId="164" fontId="6" fillId="0" borderId="5" xfId="1" applyNumberFormat="1" applyFont="1" applyFill="1" applyBorder="1" applyAlignment="1" applyProtection="1">
      <alignment horizontal="center" vertical="top"/>
      <protection locked="0"/>
    </xf>
    <xf numFmtId="49" fontId="6" fillId="0" borderId="8" xfId="0" applyNumberFormat="1" applyFont="1" applyBorder="1" applyAlignment="1" applyProtection="1">
      <alignment horizontal="left" vertical="top" wrapText="1"/>
      <protection locked="0"/>
    </xf>
    <xf numFmtId="164" fontId="6" fillId="0" borderId="9" xfId="1" applyNumberFormat="1" applyFont="1" applyFill="1" applyBorder="1" applyAlignment="1" applyProtection="1">
      <alignment horizontal="right" vertical="top"/>
      <protection locked="0"/>
    </xf>
    <xf numFmtId="49" fontId="6" fillId="3" borderId="2" xfId="0" applyNumberFormat="1" applyFont="1" applyFill="1" applyBorder="1" applyAlignment="1" applyProtection="1">
      <alignment horizontal="center" vertical="top" wrapText="1"/>
      <protection locked="0"/>
    </xf>
    <xf numFmtId="49" fontId="6" fillId="3" borderId="2" xfId="0" applyNumberFormat="1" applyFont="1" applyFill="1" applyBorder="1" applyAlignment="1" applyProtection="1">
      <alignment horizontal="left" vertical="top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/>
      <protection locked="0"/>
    </xf>
    <xf numFmtId="164" fontId="6" fillId="3" borderId="2" xfId="1" applyNumberFormat="1" applyFont="1" applyFill="1" applyBorder="1" applyAlignment="1" applyProtection="1">
      <alignment horizontal="right" vertical="top"/>
      <protection locked="0"/>
    </xf>
    <xf numFmtId="164" fontId="7" fillId="5" borderId="2" xfId="1" applyNumberFormat="1" applyFont="1" applyFill="1" applyBorder="1" applyAlignment="1" applyProtection="1">
      <alignment horizontal="right" vertical="top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23" fillId="0" borderId="3" xfId="0" applyNumberFormat="1" applyFont="1" applyBorder="1" applyAlignment="1" applyProtection="1">
      <alignment horizontal="center" vertical="top"/>
      <protection locked="0"/>
    </xf>
    <xf numFmtId="49" fontId="23" fillId="0" borderId="0" xfId="0" applyNumberFormat="1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center" vertical="top"/>
      <protection locked="0"/>
    </xf>
    <xf numFmtId="164" fontId="23" fillId="0" borderId="0" xfId="1" applyNumberFormat="1" applyFont="1" applyAlignment="1" applyProtection="1">
      <alignment horizontal="center" vertical="top"/>
      <protection locked="0"/>
    </xf>
    <xf numFmtId="164" fontId="23" fillId="0" borderId="4" xfId="1" applyNumberFormat="1" applyFont="1" applyBorder="1" applyAlignment="1" applyProtection="1">
      <alignment horizontal="center" vertical="top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1" applyNumberFormat="1" applyFont="1" applyFill="1" applyBorder="1" applyAlignment="1" applyProtection="1">
      <alignment horizontal="left" vertical="top" wrapText="1"/>
      <protection locked="0"/>
    </xf>
    <xf numFmtId="164" fontId="6" fillId="9" borderId="5" xfId="1" applyNumberFormat="1" applyFont="1" applyFill="1" applyBorder="1" applyAlignment="1" applyProtection="1">
      <alignment horizontal="right" vertical="top"/>
      <protection locked="0"/>
    </xf>
    <xf numFmtId="164" fontId="7" fillId="8" borderId="2" xfId="1" applyNumberFormat="1" applyFont="1" applyFill="1" applyBorder="1" applyAlignment="1" applyProtection="1">
      <alignment horizontal="right" vertical="top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164" fontId="6" fillId="0" borderId="9" xfId="1" applyNumberFormat="1" applyFont="1" applyFill="1" applyBorder="1" applyAlignment="1" applyProtection="1">
      <alignment horizontal="center" vertical="top"/>
      <protection locked="0"/>
    </xf>
    <xf numFmtId="43" fontId="6" fillId="0" borderId="9" xfId="1" applyFont="1" applyFill="1" applyBorder="1" applyAlignment="1" applyProtection="1">
      <alignment horizontal="center" vertical="top"/>
      <protection locked="0"/>
    </xf>
    <xf numFmtId="49" fontId="6" fillId="3" borderId="2" xfId="0" applyNumberFormat="1" applyFont="1" applyFill="1" applyBorder="1" applyAlignment="1" applyProtection="1">
      <alignment horizontal="center" vertical="top"/>
      <protection locked="0"/>
    </xf>
    <xf numFmtId="164" fontId="6" fillId="3" borderId="2" xfId="1" applyNumberFormat="1" applyFont="1" applyFill="1" applyBorder="1" applyAlignment="1" applyProtection="1">
      <alignment horizontal="center" vertical="top"/>
      <protection locked="0"/>
    </xf>
    <xf numFmtId="43" fontId="6" fillId="3" borderId="2" xfId="1" applyFont="1" applyFill="1" applyBorder="1" applyAlignment="1" applyProtection="1">
      <alignment horizontal="right" vertical="top"/>
      <protection locked="0"/>
    </xf>
    <xf numFmtId="49" fontId="7" fillId="3" borderId="2" xfId="0" applyNumberFormat="1" applyFont="1" applyFill="1" applyBorder="1" applyAlignment="1" applyProtection="1">
      <alignment horizontal="center" vertical="top" wrapText="1"/>
      <protection locked="0"/>
    </xf>
    <xf numFmtId="49" fontId="7" fillId="3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2" xfId="0" applyNumberFormat="1" applyFont="1" applyFill="1" applyBorder="1" applyAlignment="1" applyProtection="1">
      <alignment horizontal="center" vertical="top"/>
      <protection locked="0"/>
    </xf>
    <xf numFmtId="164" fontId="7" fillId="3" borderId="2" xfId="1" applyNumberFormat="1" applyFont="1" applyFill="1" applyBorder="1" applyAlignment="1" applyProtection="1">
      <alignment horizontal="center" vertical="top"/>
      <protection locked="0"/>
    </xf>
    <xf numFmtId="43" fontId="7" fillId="3" borderId="2" xfId="1" applyFont="1" applyFill="1" applyBorder="1" applyAlignment="1" applyProtection="1">
      <alignment horizontal="right" vertical="top"/>
      <protection locked="0"/>
    </xf>
    <xf numFmtId="43" fontId="7" fillId="5" borderId="2" xfId="1" applyFont="1" applyFill="1" applyBorder="1" applyAlignment="1" applyProtection="1">
      <alignment horizontal="right" vertical="top"/>
      <protection locked="0"/>
    </xf>
    <xf numFmtId="43" fontId="7" fillId="8" borderId="2" xfId="1" applyFont="1" applyFill="1" applyBorder="1" applyAlignment="1" applyProtection="1">
      <alignment horizontal="right" vertical="top"/>
      <protection locked="0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164" fontId="6" fillId="0" borderId="19" xfId="1" applyNumberFormat="1" applyFont="1" applyFill="1" applyBorder="1" applyAlignment="1" applyProtection="1">
      <alignment horizontal="right" vertical="top"/>
      <protection locked="0"/>
    </xf>
    <xf numFmtId="43" fontId="6" fillId="0" borderId="19" xfId="1" applyFont="1" applyFill="1" applyBorder="1" applyAlignment="1" applyProtection="1">
      <alignment horizontal="right" vertical="top"/>
      <protection locked="0"/>
    </xf>
    <xf numFmtId="49" fontId="23" fillId="0" borderId="18" xfId="0" applyNumberFormat="1" applyFont="1" applyBorder="1" applyAlignment="1" applyProtection="1">
      <alignment horizontal="right" vertical="top"/>
      <protection locked="0"/>
    </xf>
    <xf numFmtId="164" fontId="5" fillId="0" borderId="19" xfId="1" applyNumberFormat="1" applyFont="1" applyFill="1" applyBorder="1" applyAlignment="1" applyProtection="1">
      <alignment horizontal="right" vertical="top"/>
      <protection locked="0"/>
    </xf>
    <xf numFmtId="43" fontId="5" fillId="0" borderId="19" xfId="1" applyFont="1" applyFill="1" applyBorder="1" applyAlignment="1" applyProtection="1">
      <alignment horizontal="right" vertical="top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49" fontId="6" fillId="10" borderId="5" xfId="0" applyNumberFormat="1" applyFont="1" applyFill="1" applyBorder="1" applyAlignment="1" applyProtection="1">
      <alignment horizontal="left" vertical="top" wrapText="1"/>
      <protection locked="0"/>
    </xf>
    <xf numFmtId="49" fontId="6" fillId="10" borderId="5" xfId="0" applyNumberFormat="1" applyFont="1" applyFill="1" applyBorder="1" applyAlignment="1" applyProtection="1">
      <alignment horizontal="center" vertical="top"/>
      <protection locked="0"/>
    </xf>
    <xf numFmtId="43" fontId="6" fillId="10" borderId="20" xfId="1" applyFont="1" applyFill="1" applyBorder="1" applyAlignment="1" applyProtection="1">
      <alignment horizontal="right" vertical="top"/>
      <protection locked="0"/>
    </xf>
    <xf numFmtId="164" fontId="5" fillId="0" borderId="9" xfId="1" applyNumberFormat="1" applyFont="1" applyFill="1" applyBorder="1" applyAlignment="1" applyProtection="1">
      <alignment horizontal="center" vertical="top"/>
      <protection locked="0"/>
    </xf>
    <xf numFmtId="43" fontId="5" fillId="0" borderId="9" xfId="1" applyFont="1" applyFill="1" applyBorder="1" applyAlignment="1" applyProtection="1">
      <alignment horizontal="center" vertical="top"/>
      <protection locked="0"/>
    </xf>
    <xf numFmtId="164" fontId="5" fillId="0" borderId="1" xfId="1" applyNumberFormat="1" applyFont="1" applyFill="1" applyBorder="1" applyAlignment="1" applyProtection="1">
      <alignment horizontal="center" vertical="top"/>
      <protection locked="0"/>
    </xf>
    <xf numFmtId="164" fontId="6" fillId="10" borderId="5" xfId="1" applyNumberFormat="1" applyFont="1" applyFill="1" applyBorder="1" applyAlignment="1" applyProtection="1">
      <alignment horizontal="center" vertical="top"/>
      <protection locked="0"/>
    </xf>
    <xf numFmtId="0" fontId="32" fillId="0" borderId="2" xfId="0" applyFont="1" applyBorder="1" applyAlignment="1">
      <alignment vertical="center"/>
    </xf>
    <xf numFmtId="0" fontId="32" fillId="0" borderId="2" xfId="0" applyFont="1" applyBorder="1" applyAlignment="1">
      <alignment vertical="center" wrapText="1"/>
    </xf>
    <xf numFmtId="164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0" fontId="33" fillId="11" borderId="2" xfId="0" applyFont="1" applyFill="1" applyBorder="1" applyAlignment="1">
      <alignment vertical="center"/>
    </xf>
    <xf numFmtId="0" fontId="1" fillId="11" borderId="2" xfId="0" applyFont="1" applyFill="1" applyBorder="1"/>
    <xf numFmtId="164" fontId="1" fillId="11" borderId="2" xfId="1" applyNumberFormat="1" applyFont="1" applyFill="1" applyBorder="1"/>
    <xf numFmtId="0" fontId="0" fillId="10" borderId="2" xfId="0" applyFill="1" applyBorder="1"/>
    <xf numFmtId="164" fontId="1" fillId="8" borderId="2" xfId="1" applyNumberFormat="1" applyFont="1" applyFill="1" applyBorder="1"/>
    <xf numFmtId="164" fontId="0" fillId="10" borderId="2" xfId="1" applyNumberFormat="1" applyFont="1" applyFill="1" applyBorder="1"/>
    <xf numFmtId="164" fontId="1" fillId="8" borderId="2" xfId="0" applyNumberFormat="1" applyFont="1" applyFill="1" applyBorder="1"/>
    <xf numFmtId="164" fontId="4" fillId="5" borderId="2" xfId="1" applyNumberFormat="1" applyFont="1" applyFill="1" applyBorder="1" applyAlignment="1" applyProtection="1">
      <alignment horizontal="right" vertical="top"/>
      <protection locked="0"/>
    </xf>
    <xf numFmtId="164" fontId="4" fillId="8" borderId="2" xfId="1" applyNumberFormat="1" applyFont="1" applyFill="1" applyBorder="1" applyAlignment="1" applyProtection="1">
      <alignment horizontal="right" vertical="top"/>
      <protection locked="0"/>
    </xf>
    <xf numFmtId="49" fontId="36" fillId="0" borderId="1" xfId="0" applyNumberFormat="1" applyFont="1" applyBorder="1" applyAlignment="1" applyProtection="1">
      <alignment horizontal="center" vertical="top" wrapText="1"/>
      <protection locked="0"/>
    </xf>
    <xf numFmtId="49" fontId="36" fillId="0" borderId="5" xfId="0" applyNumberFormat="1" applyFont="1" applyBorder="1" applyAlignment="1" applyProtection="1">
      <alignment horizontal="left" vertical="top" wrapText="1"/>
      <protection locked="0"/>
    </xf>
    <xf numFmtId="49" fontId="36" fillId="0" borderId="5" xfId="0" applyNumberFormat="1" applyFont="1" applyBorder="1" applyAlignment="1" applyProtection="1">
      <alignment horizontal="center" vertical="top"/>
      <protection locked="0"/>
    </xf>
    <xf numFmtId="164" fontId="36" fillId="0" borderId="5" xfId="1" applyNumberFormat="1" applyFont="1" applyFill="1" applyBorder="1" applyAlignment="1" applyProtection="1">
      <alignment horizontal="right" vertical="top"/>
      <protection locked="0"/>
    </xf>
    <xf numFmtId="49" fontId="5" fillId="1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 wrapText="1"/>
      <protection locked="0"/>
    </xf>
    <xf numFmtId="49" fontId="5" fillId="0" borderId="5" xfId="0" applyNumberFormat="1" applyFont="1" applyBorder="1" applyAlignment="1" applyProtection="1">
      <alignment horizontal="center" vertical="top"/>
      <protection locked="0"/>
    </xf>
    <xf numFmtId="49" fontId="5" fillId="0" borderId="0" xfId="0" applyNumberFormat="1" applyFont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center" vertical="top" wrapText="1"/>
      <protection locked="0"/>
    </xf>
    <xf numFmtId="164" fontId="5" fillId="0" borderId="2" xfId="1" applyNumberFormat="1" applyFont="1" applyFill="1" applyBorder="1" applyAlignment="1" applyProtection="1">
      <alignment horizontal="right" vertical="top"/>
      <protection locked="0"/>
    </xf>
    <xf numFmtId="164" fontId="9" fillId="0" borderId="0" xfId="1" applyNumberFormat="1" applyFont="1" applyAlignment="1" applyProtection="1">
      <alignment horizontal="center" vertical="top"/>
      <protection locked="0"/>
    </xf>
    <xf numFmtId="164" fontId="9" fillId="0" borderId="4" xfId="1" applyNumberFormat="1" applyFont="1" applyBorder="1" applyAlignment="1" applyProtection="1">
      <alignment horizontal="center" vertical="top"/>
      <protection locked="0"/>
    </xf>
    <xf numFmtId="164" fontId="5" fillId="0" borderId="2" xfId="1" applyNumberFormat="1" applyFont="1" applyBorder="1" applyAlignment="1" applyProtection="1">
      <alignment horizontal="left" vertical="top" wrapText="1"/>
      <protection locked="0"/>
    </xf>
    <xf numFmtId="43" fontId="1" fillId="0" borderId="0" xfId="0" applyNumberFormat="1" applyFont="1"/>
    <xf numFmtId="43" fontId="0" fillId="0" borderId="0" xfId="0" applyNumberFormat="1"/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>
      <alignment horizontal="left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top" wrapText="1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right"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10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0" fillId="10" borderId="0" xfId="0" applyFill="1" applyProtection="1">
      <protection locked="0"/>
    </xf>
    <xf numFmtId="0" fontId="3" fillId="0" borderId="0" xfId="0" applyFont="1" applyProtection="1">
      <protection locked="0"/>
    </xf>
    <xf numFmtId="0" fontId="22" fillId="4" borderId="2" xfId="0" applyFont="1" applyFill="1" applyBorder="1" applyAlignment="1" applyProtection="1">
      <alignment vertical="center" wrapText="1"/>
      <protection locked="0"/>
    </xf>
    <xf numFmtId="0" fontId="22" fillId="4" borderId="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right" vertical="center" wrapText="1"/>
      <protection locked="0"/>
    </xf>
    <xf numFmtId="0" fontId="36" fillId="0" borderId="25" xfId="0" applyFont="1" applyBorder="1" applyAlignment="1" applyProtection="1">
      <alignment wrapText="1"/>
      <protection locked="0"/>
    </xf>
    <xf numFmtId="0" fontId="36" fillId="0" borderId="26" xfId="0" applyFont="1" applyBorder="1" applyAlignment="1" applyProtection="1">
      <alignment wrapText="1"/>
      <protection locked="0"/>
    </xf>
    <xf numFmtId="0" fontId="36" fillId="0" borderId="26" xfId="0" applyFont="1" applyBorder="1" applyProtection="1">
      <protection locked="0"/>
    </xf>
    <xf numFmtId="0" fontId="36" fillId="0" borderId="27" xfId="0" applyFont="1" applyBorder="1" applyAlignment="1" applyProtection="1">
      <alignment wrapText="1"/>
      <protection locked="0"/>
    </xf>
    <xf numFmtId="0" fontId="36" fillId="0" borderId="27" xfId="0" applyFont="1" applyBorder="1" applyProtection="1">
      <protection locked="0"/>
    </xf>
    <xf numFmtId="3" fontId="36" fillId="0" borderId="27" xfId="0" applyNumberFormat="1" applyFont="1" applyBorder="1" applyProtection="1">
      <protection locked="0"/>
    </xf>
    <xf numFmtId="0" fontId="36" fillId="0" borderId="28" xfId="0" applyFont="1" applyBorder="1" applyAlignment="1" applyProtection="1">
      <alignment wrapText="1"/>
      <protection locked="0"/>
    </xf>
    <xf numFmtId="0" fontId="36" fillId="0" borderId="28" xfId="0" applyFont="1" applyBorder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10" borderId="0" xfId="0" applyFont="1" applyFill="1" applyProtection="1">
      <protection locked="0"/>
    </xf>
    <xf numFmtId="0" fontId="36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7" fillId="7" borderId="11" xfId="0" applyFont="1" applyFill="1" applyBorder="1" applyAlignment="1" applyProtection="1">
      <alignment horizontal="center" vertical="top" wrapText="1"/>
      <protection locked="0"/>
    </xf>
    <xf numFmtId="0" fontId="7" fillId="7" borderId="12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8" xfId="0" applyBorder="1" applyAlignment="1" applyProtection="1">
      <alignment horizontal="right"/>
      <protection locked="0"/>
    </xf>
    <xf numFmtId="0" fontId="20" fillId="7" borderId="2" xfId="0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25" fillId="12" borderId="2" xfId="0" applyFont="1" applyFill="1" applyBorder="1" applyProtection="1">
      <protection locked="0"/>
    </xf>
    <xf numFmtId="0" fontId="20" fillId="12" borderId="16" xfId="0" applyFont="1" applyFill="1" applyBorder="1" applyAlignment="1" applyProtection="1">
      <alignment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25" fillId="0" borderId="10" xfId="0" applyFont="1" applyBorder="1" applyProtection="1">
      <protection locked="0"/>
    </xf>
    <xf numFmtId="0" fontId="25" fillId="0" borderId="21" xfId="0" applyFont="1" applyBorder="1" applyAlignment="1" applyProtection="1">
      <alignment wrapText="1"/>
      <protection locked="0"/>
    </xf>
    <xf numFmtId="0" fontId="26" fillId="0" borderId="10" xfId="0" applyFont="1" applyBorder="1" applyProtection="1">
      <protection locked="0"/>
    </xf>
    <xf numFmtId="0" fontId="20" fillId="0" borderId="21" xfId="0" applyFont="1" applyBorder="1" applyAlignment="1" applyProtection="1">
      <alignment wrapText="1"/>
      <protection locked="0"/>
    </xf>
    <xf numFmtId="0" fontId="20" fillId="0" borderId="21" xfId="0" applyFont="1" applyBorder="1" applyProtection="1">
      <protection locked="0"/>
    </xf>
    <xf numFmtId="0" fontId="27" fillId="0" borderId="21" xfId="0" applyFont="1" applyBorder="1" applyAlignment="1" applyProtection="1">
      <alignment wrapText="1"/>
      <protection locked="0"/>
    </xf>
    <xf numFmtId="0" fontId="26" fillId="0" borderId="21" xfId="0" applyFont="1" applyBorder="1" applyProtection="1">
      <protection locked="0"/>
    </xf>
    <xf numFmtId="3" fontId="26" fillId="0" borderId="21" xfId="0" applyNumberFormat="1" applyFont="1" applyBorder="1" applyProtection="1">
      <protection locked="0"/>
    </xf>
    <xf numFmtId="0" fontId="27" fillId="13" borderId="10" xfId="0" applyFont="1" applyFill="1" applyBorder="1" applyProtection="1">
      <protection locked="0"/>
    </xf>
    <xf numFmtId="0" fontId="20" fillId="13" borderId="21" xfId="0" applyFont="1" applyFill="1" applyBorder="1" applyAlignment="1" applyProtection="1">
      <alignment wrapText="1"/>
      <protection locked="0"/>
    </xf>
    <xf numFmtId="0" fontId="27" fillId="13" borderId="21" xfId="0" applyFont="1" applyFill="1" applyBorder="1" applyAlignment="1" applyProtection="1">
      <alignment wrapText="1"/>
      <protection locked="0"/>
    </xf>
    <xf numFmtId="3" fontId="20" fillId="13" borderId="21" xfId="0" applyNumberFormat="1" applyFont="1" applyFill="1" applyBorder="1" applyAlignment="1" applyProtection="1">
      <alignment wrapText="1"/>
      <protection locked="0"/>
    </xf>
    <xf numFmtId="0" fontId="27" fillId="0" borderId="10" xfId="0" applyFont="1" applyBorder="1" applyAlignment="1" applyProtection="1">
      <alignment wrapText="1"/>
      <protection locked="0"/>
    </xf>
    <xf numFmtId="3" fontId="27" fillId="0" borderId="21" xfId="0" applyNumberFormat="1" applyFont="1" applyBorder="1" applyAlignment="1" applyProtection="1">
      <alignment wrapText="1"/>
      <protection locked="0"/>
    </xf>
    <xf numFmtId="0" fontId="27" fillId="0" borderId="10" xfId="0" applyFont="1" applyBorder="1" applyProtection="1">
      <protection locked="0"/>
    </xf>
    <xf numFmtId="3" fontId="30" fillId="0" borderId="21" xfId="0" applyNumberFormat="1" applyFont="1" applyBorder="1" applyAlignment="1" applyProtection="1">
      <alignment wrapText="1"/>
      <protection locked="0"/>
    </xf>
    <xf numFmtId="0" fontId="25" fillId="0" borderId="10" xfId="0" applyFont="1" applyBorder="1" applyAlignment="1" applyProtection="1">
      <alignment wrapText="1"/>
      <protection locked="0"/>
    </xf>
    <xf numFmtId="0" fontId="26" fillId="0" borderId="21" xfId="0" applyFont="1" applyBorder="1" applyAlignment="1" applyProtection="1">
      <alignment wrapText="1"/>
      <protection locked="0"/>
    </xf>
    <xf numFmtId="3" fontId="30" fillId="0" borderId="21" xfId="0" applyNumberFormat="1" applyFont="1" applyBorder="1" applyProtection="1">
      <protection locked="0"/>
    </xf>
    <xf numFmtId="3" fontId="35" fillId="0" borderId="21" xfId="0" applyNumberFormat="1" applyFont="1" applyBorder="1" applyProtection="1">
      <protection locked="0"/>
    </xf>
    <xf numFmtId="0" fontId="26" fillId="13" borderId="10" xfId="0" applyFont="1" applyFill="1" applyBorder="1" applyProtection="1">
      <protection locked="0"/>
    </xf>
    <xf numFmtId="0" fontId="25" fillId="13" borderId="21" xfId="0" applyFont="1" applyFill="1" applyBorder="1" applyAlignment="1" applyProtection="1">
      <alignment wrapText="1"/>
      <protection locked="0"/>
    </xf>
    <xf numFmtId="0" fontId="26" fillId="13" borderId="21" xfId="0" applyFont="1" applyFill="1" applyBorder="1" applyAlignment="1" applyProtection="1">
      <alignment wrapText="1"/>
      <protection locked="0"/>
    </xf>
    <xf numFmtId="3" fontId="25" fillId="13" borderId="21" xfId="0" applyNumberFormat="1" applyFont="1" applyFill="1" applyBorder="1" applyProtection="1">
      <protection locked="0"/>
    </xf>
    <xf numFmtId="0" fontId="26" fillId="0" borderId="10" xfId="0" applyFont="1" applyBorder="1" applyAlignment="1" applyProtection="1">
      <alignment wrapText="1"/>
      <protection locked="0"/>
    </xf>
    <xf numFmtId="0" fontId="26" fillId="0" borderId="22" xfId="0" applyFont="1" applyBorder="1" applyProtection="1">
      <protection locked="0"/>
    </xf>
    <xf numFmtId="0" fontId="20" fillId="0" borderId="10" xfId="0" applyFont="1" applyBorder="1" applyAlignment="1" applyProtection="1">
      <alignment wrapText="1"/>
      <protection locked="0"/>
    </xf>
    <xf numFmtId="0" fontId="27" fillId="0" borderId="22" xfId="0" applyFont="1" applyBorder="1" applyProtection="1">
      <protection locked="0"/>
    </xf>
    <xf numFmtId="0" fontId="27" fillId="13" borderId="22" xfId="0" applyFont="1" applyFill="1" applyBorder="1" applyProtection="1">
      <protection locked="0"/>
    </xf>
    <xf numFmtId="0" fontId="20" fillId="13" borderId="10" xfId="0" applyFont="1" applyFill="1" applyBorder="1" applyAlignment="1" applyProtection="1">
      <alignment wrapText="1"/>
      <protection locked="0"/>
    </xf>
    <xf numFmtId="0" fontId="27" fillId="0" borderId="2" xfId="0" applyFont="1" applyBorder="1" applyAlignment="1" applyProtection="1">
      <alignment wrapText="1"/>
      <protection locked="0"/>
    </xf>
    <xf numFmtId="3" fontId="27" fillId="0" borderId="10" xfId="0" applyNumberFormat="1" applyFont="1" applyBorder="1" applyAlignment="1" applyProtection="1">
      <alignment wrapText="1"/>
      <protection locked="0"/>
    </xf>
    <xf numFmtId="0" fontId="26" fillId="13" borderId="22" xfId="0" applyFont="1" applyFill="1" applyBorder="1" applyProtection="1">
      <protection locked="0"/>
    </xf>
    <xf numFmtId="0" fontId="25" fillId="0" borderId="22" xfId="0" applyFont="1" applyBorder="1" applyProtection="1">
      <protection locked="0"/>
    </xf>
    <xf numFmtId="0" fontId="27" fillId="0" borderId="21" xfId="0" applyFont="1" applyBorder="1" applyProtection="1">
      <protection locked="0"/>
    </xf>
    <xf numFmtId="3" fontId="27" fillId="0" borderId="21" xfId="0" applyNumberFormat="1" applyFont="1" applyBorder="1" applyProtection="1">
      <protection locked="0"/>
    </xf>
    <xf numFmtId="0" fontId="27" fillId="14" borderId="21" xfId="0" applyFont="1" applyFill="1" applyBorder="1" applyProtection="1">
      <protection locked="0"/>
    </xf>
    <xf numFmtId="0" fontId="26" fillId="0" borderId="23" xfId="0" applyFont="1" applyBorder="1" applyProtection="1">
      <protection locked="0"/>
    </xf>
    <xf numFmtId="0" fontId="30" fillId="0" borderId="21" xfId="0" applyFont="1" applyBorder="1" applyAlignment="1" applyProtection="1">
      <alignment wrapText="1"/>
      <protection locked="0"/>
    </xf>
    <xf numFmtId="0" fontId="26" fillId="13" borderId="23" xfId="0" applyFont="1" applyFill="1" applyBorder="1" applyProtection="1">
      <protection locked="0"/>
    </xf>
    <xf numFmtId="0" fontId="20" fillId="13" borderId="21" xfId="0" applyFont="1" applyFill="1" applyBorder="1" applyProtection="1">
      <protection locked="0"/>
    </xf>
    <xf numFmtId="3" fontId="20" fillId="13" borderId="24" xfId="0" applyNumberFormat="1" applyFont="1" applyFill="1" applyBorder="1" applyProtection="1">
      <protection locked="0"/>
    </xf>
    <xf numFmtId="0" fontId="26" fillId="14" borderId="23" xfId="0" applyFont="1" applyFill="1" applyBorder="1" applyProtection="1">
      <protection locked="0"/>
    </xf>
    <xf numFmtId="0" fontId="20" fillId="14" borderId="21" xfId="0" applyFont="1" applyFill="1" applyBorder="1" applyAlignment="1" applyProtection="1">
      <alignment wrapText="1"/>
      <protection locked="0"/>
    </xf>
    <xf numFmtId="0" fontId="20" fillId="14" borderId="21" xfId="0" applyFont="1" applyFill="1" applyBorder="1" applyProtection="1">
      <protection locked="0"/>
    </xf>
    <xf numFmtId="0" fontId="20" fillId="14" borderId="24" xfId="0" applyFont="1" applyFill="1" applyBorder="1" applyProtection="1">
      <protection locked="0"/>
    </xf>
    <xf numFmtId="0" fontId="27" fillId="0" borderId="23" xfId="0" applyFont="1" applyBorder="1" applyProtection="1">
      <protection locked="0"/>
    </xf>
    <xf numFmtId="0" fontId="27" fillId="13" borderId="23" xfId="0" applyFont="1" applyFill="1" applyBorder="1" applyProtection="1">
      <protection locked="0"/>
    </xf>
    <xf numFmtId="0" fontId="27" fillId="13" borderId="21" xfId="0" applyFont="1" applyFill="1" applyBorder="1" applyProtection="1">
      <protection locked="0"/>
    </xf>
    <xf numFmtId="0" fontId="20" fillId="0" borderId="23" xfId="0" applyFont="1" applyBorder="1" applyProtection="1">
      <protection locked="0"/>
    </xf>
    <xf numFmtId="0" fontId="27" fillId="0" borderId="24" xfId="0" applyFont="1" applyBorder="1" applyProtection="1">
      <protection locked="0"/>
    </xf>
    <xf numFmtId="0" fontId="20" fillId="0" borderId="24" xfId="0" applyFont="1" applyBorder="1" applyProtection="1">
      <protection locked="0"/>
    </xf>
    <xf numFmtId="3" fontId="27" fillId="0" borderId="24" xfId="0" applyNumberFormat="1" applyFont="1" applyBorder="1" applyAlignment="1" applyProtection="1">
      <alignment wrapText="1"/>
      <protection locked="0"/>
    </xf>
    <xf numFmtId="3" fontId="20" fillId="13" borderId="24" xfId="0" applyNumberFormat="1" applyFont="1" applyFill="1" applyBorder="1" applyAlignment="1" applyProtection="1">
      <alignment wrapText="1"/>
      <protection locked="0"/>
    </xf>
    <xf numFmtId="0" fontId="27" fillId="15" borderId="23" xfId="0" applyFont="1" applyFill="1" applyBorder="1" applyProtection="1">
      <protection locked="0"/>
    </xf>
    <xf numFmtId="0" fontId="20" fillId="15" borderId="21" xfId="0" applyFont="1" applyFill="1" applyBorder="1" applyAlignment="1" applyProtection="1">
      <alignment wrapText="1"/>
      <protection locked="0"/>
    </xf>
    <xf numFmtId="0" fontId="27" fillId="15" borderId="21" xfId="0" applyFont="1" applyFill="1" applyBorder="1" applyProtection="1">
      <protection locked="0"/>
    </xf>
    <xf numFmtId="3" fontId="20" fillId="15" borderId="24" xfId="0" applyNumberFormat="1" applyFont="1" applyFill="1" applyBorder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vertical="center" wrapText="1"/>
      <protection locked="0"/>
    </xf>
    <xf numFmtId="0" fontId="20" fillId="12" borderId="16" xfId="0" applyFont="1" applyFill="1" applyBorder="1" applyAlignment="1">
      <alignment wrapText="1"/>
    </xf>
    <xf numFmtId="0" fontId="25" fillId="0" borderId="21" xfId="0" applyFont="1" applyBorder="1" applyAlignment="1">
      <alignment wrapText="1"/>
    </xf>
    <xf numFmtId="0" fontId="20" fillId="0" borderId="21" xfId="0" applyFont="1" applyBorder="1"/>
    <xf numFmtId="0" fontId="26" fillId="0" borderId="21" xfId="0" applyFont="1" applyBorder="1"/>
    <xf numFmtId="0" fontId="27" fillId="13" borderId="21" xfId="0" applyFont="1" applyFill="1" applyBorder="1" applyAlignment="1">
      <alignment wrapText="1"/>
    </xf>
    <xf numFmtId="0" fontId="27" fillId="0" borderId="21" xfId="0" applyFont="1" applyBorder="1" applyAlignment="1">
      <alignment wrapText="1"/>
    </xf>
    <xf numFmtId="0" fontId="26" fillId="0" borderId="21" xfId="0" applyFont="1" applyBorder="1" applyAlignment="1">
      <alignment wrapText="1"/>
    </xf>
    <xf numFmtId="0" fontId="26" fillId="13" borderId="21" xfId="0" applyFont="1" applyFill="1" applyBorder="1" applyAlignment="1">
      <alignment wrapText="1"/>
    </xf>
    <xf numFmtId="0" fontId="20" fillId="0" borderId="21" xfId="0" applyFont="1" applyBorder="1" applyAlignment="1">
      <alignment wrapText="1"/>
    </xf>
    <xf numFmtId="0" fontId="20" fillId="0" borderId="0" xfId="0" applyFont="1"/>
    <xf numFmtId="0" fontId="24" fillId="0" borderId="0" xfId="0" applyFont="1"/>
    <xf numFmtId="0" fontId="20" fillId="0" borderId="7" xfId="0" applyFont="1" applyBorder="1"/>
    <xf numFmtId="0" fontId="27" fillId="0" borderId="21" xfId="0" applyFont="1" applyBorder="1"/>
    <xf numFmtId="0" fontId="20" fillId="13" borderId="21" xfId="0" applyFont="1" applyFill="1" applyBorder="1" applyAlignment="1">
      <alignment wrapText="1"/>
    </xf>
    <xf numFmtId="0" fontId="27" fillId="14" borderId="21" xfId="0" applyFont="1" applyFill="1" applyBorder="1"/>
    <xf numFmtId="0" fontId="20" fillId="13" borderId="21" xfId="0" applyFont="1" applyFill="1" applyBorder="1"/>
    <xf numFmtId="0" fontId="20" fillId="14" borderId="21" xfId="0" applyFont="1" applyFill="1" applyBorder="1"/>
    <xf numFmtId="0" fontId="27" fillId="13" borderId="21" xfId="0" applyFont="1" applyFill="1" applyBorder="1"/>
    <xf numFmtId="0" fontId="27" fillId="15" borderId="21" xfId="0" applyFont="1" applyFill="1" applyBorder="1"/>
    <xf numFmtId="0" fontId="31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16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20" fillId="12" borderId="7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0" fontId="4" fillId="7" borderId="13" xfId="0" applyFont="1" applyFill="1" applyBorder="1" applyAlignment="1" applyProtection="1">
      <alignment vertical="top" wrapText="1"/>
      <protection locked="0"/>
    </xf>
    <xf numFmtId="0" fontId="4" fillId="7" borderId="14" xfId="0" applyFont="1" applyFill="1" applyBorder="1" applyAlignment="1" applyProtection="1">
      <alignment vertical="top" wrapText="1"/>
      <protection locked="0"/>
    </xf>
    <xf numFmtId="0" fontId="4" fillId="7" borderId="11" xfId="0" applyFont="1" applyFill="1" applyBorder="1" applyAlignment="1" applyProtection="1">
      <alignment vertical="top" wrapText="1"/>
      <protection locked="0"/>
    </xf>
    <xf numFmtId="0" fontId="4" fillId="7" borderId="12" xfId="0" applyFont="1" applyFill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43" fontId="1" fillId="6" borderId="2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0" fontId="14" fillId="4" borderId="6" xfId="0" applyFont="1" applyFill="1" applyBorder="1" applyAlignment="1" applyProtection="1">
      <alignment vertical="center" wrapText="1"/>
      <protection locked="0"/>
    </xf>
    <xf numFmtId="0" fontId="17" fillId="6" borderId="2" xfId="0" applyFont="1" applyFill="1" applyBorder="1" applyAlignment="1" applyProtection="1">
      <alignment horizontal="left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7" fillId="6" borderId="2" xfId="0" applyFont="1" applyFill="1" applyBorder="1" applyProtection="1">
      <protection locked="0"/>
    </xf>
    <xf numFmtId="0" fontId="1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4" fillId="7" borderId="11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7" fillId="0" borderId="2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vertical="top"/>
    </xf>
    <xf numFmtId="2" fontId="7" fillId="0" borderId="2" xfId="1" applyNumberFormat="1" applyFont="1" applyFill="1" applyBorder="1" applyAlignment="1" applyProtection="1">
      <alignment vertical="top"/>
    </xf>
    <xf numFmtId="2" fontId="7" fillId="0" borderId="6" xfId="0" applyNumberFormat="1" applyFont="1" applyBorder="1" applyAlignment="1">
      <alignment vertical="top"/>
    </xf>
    <xf numFmtId="2" fontId="7" fillId="3" borderId="2" xfId="0" applyNumberFormat="1" applyFont="1" applyFill="1" applyBorder="1" applyAlignment="1">
      <alignment vertical="top"/>
    </xf>
    <xf numFmtId="49" fontId="9" fillId="0" borderId="0" xfId="0" applyNumberFormat="1" applyFont="1" applyAlignment="1">
      <alignment horizontal="center" vertical="top"/>
    </xf>
    <xf numFmtId="0" fontId="7" fillId="0" borderId="7" xfId="0" applyFont="1" applyBorder="1"/>
    <xf numFmtId="0" fontId="7" fillId="0" borderId="21" xfId="0" applyFont="1" applyBorder="1"/>
    <xf numFmtId="0" fontId="7" fillId="0" borderId="18" xfId="0" applyFont="1" applyBorder="1"/>
    <xf numFmtId="0" fontId="17" fillId="6" borderId="2" xfId="0" applyFont="1" applyFill="1" applyBorder="1"/>
    <xf numFmtId="0" fontId="14" fillId="4" borderId="6" xfId="0" applyFont="1" applyFill="1" applyBorder="1" applyAlignment="1">
      <alignment vertical="center" wrapText="1"/>
    </xf>
    <xf numFmtId="0" fontId="3" fillId="2" borderId="2" xfId="0" applyFont="1" applyFill="1" applyBorder="1"/>
    <xf numFmtId="0" fontId="3" fillId="2" borderId="0" xfId="0" applyFont="1" applyFill="1"/>
    <xf numFmtId="0" fontId="1" fillId="0" borderId="0" xfId="0" applyFont="1" applyProtection="1">
      <protection locked="0"/>
    </xf>
    <xf numFmtId="164" fontId="0" fillId="0" borderId="0" xfId="1" applyNumberFormat="1" applyFont="1" applyProtection="1">
      <protection locked="0"/>
    </xf>
    <xf numFmtId="164" fontId="8" fillId="0" borderId="0" xfId="1" applyNumberFormat="1" applyFont="1" applyAlignment="1" applyProtection="1">
      <alignment horizontal="center"/>
      <protection locked="0"/>
    </xf>
    <xf numFmtId="0" fontId="20" fillId="7" borderId="2" xfId="0" applyFont="1" applyFill="1" applyBorder="1" applyAlignment="1" applyProtection="1">
      <alignment vertical="center"/>
      <protection locked="0"/>
    </xf>
    <xf numFmtId="0" fontId="20" fillId="7" borderId="2" xfId="0" applyFont="1" applyFill="1" applyBorder="1" applyAlignment="1" applyProtection="1">
      <alignment vertical="center" wrapText="1"/>
      <protection locked="0"/>
    </xf>
    <xf numFmtId="164" fontId="20" fillId="7" borderId="2" xfId="1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64" fontId="7" fillId="0" borderId="2" xfId="1" applyNumberFormat="1" applyFont="1" applyBorder="1" applyAlignment="1" applyProtection="1">
      <alignment vertical="top" wrapText="1"/>
      <protection locked="0"/>
    </xf>
    <xf numFmtId="164" fontId="0" fillId="0" borderId="0" xfId="1" applyNumberFormat="1" applyFont="1" applyAlignment="1" applyProtection="1">
      <alignment vertical="top"/>
      <protection locked="0"/>
    </xf>
    <xf numFmtId="164" fontId="10" fillId="0" borderId="0" xfId="1" applyNumberFormat="1" applyFont="1" applyAlignment="1" applyProtection="1">
      <alignment vertical="top"/>
      <protection locked="0"/>
    </xf>
    <xf numFmtId="164" fontId="3" fillId="0" borderId="0" xfId="1" applyNumberFormat="1" applyFont="1" applyProtection="1">
      <protection locked="0"/>
    </xf>
    <xf numFmtId="164" fontId="3" fillId="0" borderId="0" xfId="1" applyNumberFormat="1" applyFont="1" applyAlignment="1" applyProtection="1">
      <alignment vertical="top"/>
      <protection locked="0"/>
    </xf>
    <xf numFmtId="164" fontId="22" fillId="4" borderId="2" xfId="1" applyNumberFormat="1" applyFont="1" applyFill="1" applyBorder="1" applyAlignment="1" applyProtection="1">
      <alignment vertical="center" wrapText="1"/>
      <protection locked="0"/>
    </xf>
    <xf numFmtId="0" fontId="7" fillId="7" borderId="13" xfId="0" applyFont="1" applyFill="1" applyBorder="1" applyAlignment="1" applyProtection="1">
      <alignment vertical="top" wrapText="1"/>
      <protection locked="0"/>
    </xf>
    <xf numFmtId="0" fontId="7" fillId="7" borderId="14" xfId="0" applyFont="1" applyFill="1" applyBorder="1" applyAlignment="1" applyProtection="1">
      <alignment vertical="top" wrapText="1"/>
      <protection locked="0"/>
    </xf>
    <xf numFmtId="0" fontId="7" fillId="7" borderId="11" xfId="0" applyFont="1" applyFill="1" applyBorder="1" applyAlignment="1" applyProtection="1">
      <alignment horizontal="center" vertical="center" wrapText="1"/>
      <protection locked="0"/>
    </xf>
    <xf numFmtId="164" fontId="7" fillId="7" borderId="11" xfId="1" applyNumberFormat="1" applyFont="1" applyFill="1" applyBorder="1" applyAlignment="1" applyProtection="1">
      <alignment vertical="top" wrapText="1"/>
      <protection locked="0"/>
    </xf>
    <xf numFmtId="164" fontId="7" fillId="7" borderId="12" xfId="1" applyNumberFormat="1" applyFont="1" applyFill="1" applyBorder="1" applyAlignment="1" applyProtection="1">
      <alignment vertical="top" wrapText="1"/>
      <protection locked="0"/>
    </xf>
    <xf numFmtId="164" fontId="0" fillId="0" borderId="0" xfId="0" applyNumberFormat="1" applyAlignment="1" applyProtection="1">
      <alignment vertical="top"/>
      <protection locked="0"/>
    </xf>
    <xf numFmtId="0" fontId="36" fillId="0" borderId="26" xfId="0" applyFont="1" applyBorder="1" applyAlignment="1" applyProtection="1">
      <alignment horizontal="center" vertical="center"/>
      <protection locked="0"/>
    </xf>
    <xf numFmtId="164" fontId="36" fillId="0" borderId="26" xfId="0" applyNumberFormat="1" applyFont="1" applyBorder="1" applyProtection="1">
      <protection locked="0"/>
    </xf>
    <xf numFmtId="0" fontId="36" fillId="0" borderId="27" xfId="0" applyFont="1" applyBorder="1" applyAlignment="1" applyProtection="1">
      <alignment horizontal="center" vertical="center"/>
      <protection locked="0"/>
    </xf>
    <xf numFmtId="164" fontId="36" fillId="0" borderId="27" xfId="0" applyNumberFormat="1" applyFont="1" applyBorder="1" applyProtection="1">
      <protection locked="0"/>
    </xf>
    <xf numFmtId="0" fontId="36" fillId="0" borderId="28" xfId="0" applyFont="1" applyBorder="1" applyAlignment="1" applyProtection="1">
      <alignment horizontal="center" vertical="center"/>
      <protection locked="0"/>
    </xf>
    <xf numFmtId="164" fontId="36" fillId="0" borderId="28" xfId="0" applyNumberFormat="1" applyFont="1" applyBorder="1" applyProtection="1">
      <protection locked="0"/>
    </xf>
    <xf numFmtId="164" fontId="10" fillId="0" borderId="0" xfId="1" applyNumberFormat="1" applyFont="1" applyProtection="1">
      <protection locked="0"/>
    </xf>
    <xf numFmtId="0" fontId="22" fillId="8" borderId="15" xfId="0" applyFont="1" applyFill="1" applyBorder="1" applyAlignment="1" applyProtection="1">
      <alignment vertical="center" wrapText="1"/>
      <protection locked="0"/>
    </xf>
    <xf numFmtId="0" fontId="22" fillId="8" borderId="16" xfId="0" applyFont="1" applyFill="1" applyBorder="1" applyAlignment="1" applyProtection="1">
      <alignment vertical="center" wrapText="1"/>
      <protection locked="0"/>
    </xf>
    <xf numFmtId="0" fontId="22" fillId="8" borderId="7" xfId="0" applyFont="1" applyFill="1" applyBorder="1" applyAlignment="1" applyProtection="1">
      <alignment vertical="center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top" wrapText="1"/>
    </xf>
    <xf numFmtId="0" fontId="22" fillId="4" borderId="2" xfId="0" applyFont="1" applyFill="1" applyBorder="1" applyAlignment="1">
      <alignment vertical="center" wrapText="1"/>
    </xf>
    <xf numFmtId="0" fontId="7" fillId="7" borderId="11" xfId="0" applyFont="1" applyFill="1" applyBorder="1" applyAlignment="1">
      <alignment vertical="top" wrapText="1"/>
    </xf>
    <xf numFmtId="49" fontId="23" fillId="0" borderId="0" xfId="0" applyNumberFormat="1" applyFont="1" applyAlignment="1">
      <alignment horizontal="center" vertical="top"/>
    </xf>
    <xf numFmtId="49" fontId="6" fillId="3" borderId="2" xfId="0" applyNumberFormat="1" applyFont="1" applyFill="1" applyBorder="1" applyAlignment="1">
      <alignment horizontal="left" vertical="top" wrapText="1"/>
    </xf>
    <xf numFmtId="0" fontId="22" fillId="8" borderId="16" xfId="0" applyFont="1" applyFill="1" applyBorder="1" applyAlignment="1">
      <alignment vertical="center" wrapText="1"/>
    </xf>
    <xf numFmtId="0" fontId="20" fillId="7" borderId="15" xfId="0" applyFont="1" applyFill="1" applyBorder="1" applyAlignment="1" applyProtection="1">
      <alignment vertical="center" wrapText="1"/>
      <protection locked="0"/>
    </xf>
    <xf numFmtId="0" fontId="12" fillId="0" borderId="30" xfId="0" applyFont="1" applyBorder="1" applyAlignment="1">
      <alignment vertical="center" wrapText="1"/>
    </xf>
    <xf numFmtId="0" fontId="20" fillId="7" borderId="7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top"/>
    </xf>
    <xf numFmtId="2" fontId="7" fillId="0" borderId="10" xfId="0" applyNumberFormat="1" applyFont="1" applyBorder="1" applyAlignment="1">
      <alignment horizontal="center" vertical="top"/>
    </xf>
    <xf numFmtId="2" fontId="7" fillId="0" borderId="2" xfId="1" applyNumberFormat="1" applyFont="1" applyFill="1" applyBorder="1" applyAlignment="1" applyProtection="1">
      <alignment horizontal="center" vertical="top"/>
    </xf>
    <xf numFmtId="0" fontId="3" fillId="0" borderId="0" xfId="0" applyFont="1" applyAlignment="1">
      <alignment horizontal="center" vertical="top"/>
    </xf>
    <xf numFmtId="49" fontId="6" fillId="0" borderId="1" xfId="0" applyNumberFormat="1" applyFont="1" applyBorder="1" applyAlignment="1">
      <alignment horizontal="center" vertical="top" wrapText="1"/>
    </xf>
    <xf numFmtId="49" fontId="6" fillId="3" borderId="2" xfId="0" applyNumberFormat="1" applyFont="1" applyFill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2" fontId="7" fillId="3" borderId="2" xfId="0" applyNumberFormat="1" applyFont="1" applyFill="1" applyBorder="1" applyAlignment="1">
      <alignment horizontal="center" vertical="top"/>
    </xf>
    <xf numFmtId="0" fontId="22" fillId="4" borderId="2" xfId="0" applyFont="1" applyFill="1" applyBorder="1" applyAlignment="1">
      <alignment horizontal="center" vertical="center" wrapText="1"/>
    </xf>
    <xf numFmtId="2" fontId="7" fillId="10" borderId="6" xfId="0" applyNumberFormat="1" applyFont="1" applyFill="1" applyBorder="1" applyAlignment="1">
      <alignment vertical="top"/>
    </xf>
    <xf numFmtId="0" fontId="7" fillId="7" borderId="1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8" borderId="15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20" fillId="7" borderId="15" xfId="0" applyFont="1" applyFill="1" applyBorder="1" applyAlignment="1" applyProtection="1">
      <alignment horizontal="center" vertical="center" wrapText="1"/>
      <protection locked="0"/>
    </xf>
    <xf numFmtId="0" fontId="20" fillId="7" borderId="7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7" fillId="7" borderId="13" xfId="0" applyFont="1" applyFill="1" applyBorder="1" applyAlignment="1" applyProtection="1">
      <alignment horizontal="center" vertical="top" wrapText="1"/>
      <protection locked="0"/>
    </xf>
    <xf numFmtId="0" fontId="7" fillId="7" borderId="14" xfId="0" applyFont="1" applyFill="1" applyBorder="1" applyAlignment="1" applyProtection="1">
      <alignment horizontal="center" vertical="top" wrapText="1"/>
      <protection locked="0"/>
    </xf>
    <xf numFmtId="0" fontId="20" fillId="7" borderId="13" xfId="0" applyFont="1" applyFill="1" applyBorder="1" applyAlignment="1" applyProtection="1">
      <alignment horizontal="center" vertical="center" wrapText="1"/>
      <protection locked="0"/>
    </xf>
    <xf numFmtId="0" fontId="20" fillId="7" borderId="29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20" fillId="12" borderId="15" xfId="0" applyFont="1" applyFill="1" applyBorder="1" applyAlignment="1" applyProtection="1">
      <alignment horizontal="center" wrapText="1"/>
      <protection locked="0"/>
    </xf>
    <xf numFmtId="0" fontId="20" fillId="12" borderId="16" xfId="0" applyFont="1" applyFill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7" borderId="2" xfId="0" applyFont="1" applyFill="1" applyBorder="1" applyAlignment="1" applyProtection="1">
      <alignment horizontal="center" vertical="center" wrapText="1"/>
      <protection locked="0"/>
    </xf>
    <xf numFmtId="164" fontId="12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164" fontId="4" fillId="0" borderId="2" xfId="1" applyNumberFormat="1" applyFont="1" applyBorder="1" applyAlignment="1" applyProtection="1">
      <alignment vertical="top" wrapText="1"/>
      <protection locked="0"/>
    </xf>
    <xf numFmtId="0" fontId="38" fillId="0" borderId="0" xfId="0" applyFont="1" applyProtection="1">
      <protection locked="0"/>
    </xf>
    <xf numFmtId="0" fontId="36" fillId="0" borderId="26" xfId="0" applyFont="1" applyBorder="1" applyAlignment="1" applyProtection="1">
      <alignment horizontal="center"/>
      <protection locked="0"/>
    </xf>
    <xf numFmtId="164" fontId="36" fillId="0" borderId="26" xfId="1" applyNumberFormat="1" applyFont="1" applyBorder="1" applyProtection="1">
      <protection locked="0"/>
    </xf>
    <xf numFmtId="0" fontId="36" fillId="0" borderId="27" xfId="0" applyFont="1" applyBorder="1" applyAlignment="1" applyProtection="1">
      <alignment horizontal="center"/>
      <protection locked="0"/>
    </xf>
    <xf numFmtId="164" fontId="36" fillId="0" borderId="27" xfId="1" applyNumberFormat="1" applyFont="1" applyBorder="1" applyProtection="1">
      <protection locked="0"/>
    </xf>
    <xf numFmtId="0" fontId="36" fillId="0" borderId="28" xfId="0" applyFont="1" applyBorder="1" applyAlignment="1" applyProtection="1">
      <alignment horizontal="center"/>
      <protection locked="0"/>
    </xf>
    <xf numFmtId="164" fontId="36" fillId="0" borderId="28" xfId="1" applyNumberFormat="1" applyFont="1" applyBorder="1" applyProtection="1">
      <protection locked="0"/>
    </xf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164" fontId="14" fillId="4" borderId="2" xfId="1" applyNumberFormat="1" applyFont="1" applyFill="1" applyBorder="1" applyAlignment="1" applyProtection="1">
      <alignment vertical="center" wrapText="1"/>
      <protection locked="0"/>
    </xf>
    <xf numFmtId="0" fontId="4" fillId="7" borderId="13" xfId="0" applyFont="1" applyFill="1" applyBorder="1" applyAlignment="1" applyProtection="1">
      <alignment horizontal="center" vertical="top" wrapText="1"/>
      <protection locked="0"/>
    </xf>
    <xf numFmtId="0" fontId="4" fillId="7" borderId="14" xfId="0" applyFont="1" applyFill="1" applyBorder="1" applyAlignment="1" applyProtection="1">
      <alignment horizontal="center" vertical="top" wrapText="1"/>
      <protection locked="0"/>
    </xf>
    <xf numFmtId="0" fontId="4" fillId="7" borderId="11" xfId="0" applyFont="1" applyFill="1" applyBorder="1" applyAlignment="1" applyProtection="1">
      <alignment horizontal="center" vertical="top" wrapText="1"/>
      <protection locked="0"/>
    </xf>
    <xf numFmtId="164" fontId="4" fillId="7" borderId="11" xfId="1" applyNumberFormat="1" applyFont="1" applyFill="1" applyBorder="1" applyAlignment="1" applyProtection="1">
      <alignment vertical="top" wrapText="1"/>
      <protection locked="0"/>
    </xf>
    <xf numFmtId="164" fontId="4" fillId="7" borderId="12" xfId="1" applyNumberFormat="1" applyFont="1" applyFill="1" applyBorder="1" applyAlignment="1" applyProtection="1">
      <alignment vertical="top" wrapText="1"/>
      <protection locked="0"/>
    </xf>
    <xf numFmtId="164" fontId="1" fillId="6" borderId="2" xfId="1" applyNumberFormat="1" applyFont="1" applyFill="1" applyBorder="1" applyProtection="1">
      <protection locked="0"/>
    </xf>
    <xf numFmtId="164" fontId="3" fillId="2" borderId="0" xfId="1" applyNumberFormat="1" applyFont="1" applyFill="1" applyProtection="1">
      <protection locked="0"/>
    </xf>
    <xf numFmtId="49" fontId="5" fillId="0" borderId="10" xfId="0" applyNumberFormat="1" applyFont="1" applyBorder="1" applyAlignment="1" applyProtection="1">
      <alignment horizontal="center" vertical="top"/>
      <protection locked="0"/>
    </xf>
    <xf numFmtId="164" fontId="5" fillId="0" borderId="31" xfId="1" applyNumberFormat="1" applyFont="1" applyFill="1" applyBorder="1" applyAlignment="1" applyProtection="1">
      <alignment horizontal="right" vertical="top"/>
      <protection locked="0"/>
    </xf>
    <xf numFmtId="0" fontId="4" fillId="7" borderId="2" xfId="0" applyFont="1" applyFill="1" applyBorder="1" applyAlignment="1" applyProtection="1">
      <alignment horizontal="center" vertical="top" wrapText="1"/>
      <protection locked="0"/>
    </xf>
    <xf numFmtId="164" fontId="4" fillId="7" borderId="2" xfId="1" applyNumberFormat="1" applyFont="1" applyFill="1" applyBorder="1" applyAlignment="1" applyProtection="1">
      <alignment vertical="top" wrapText="1"/>
      <protection locked="0"/>
    </xf>
    <xf numFmtId="0" fontId="17" fillId="6" borderId="2" xfId="0" applyFont="1" applyFill="1" applyBorder="1" applyAlignment="1" applyProtection="1">
      <protection locked="0"/>
    </xf>
    <xf numFmtId="0" fontId="14" fillId="8" borderId="15" xfId="0" applyFont="1" applyFill="1" applyBorder="1" applyAlignment="1" applyProtection="1">
      <alignment vertical="center" wrapText="1"/>
      <protection locked="0"/>
    </xf>
    <xf numFmtId="0" fontId="14" fillId="8" borderId="16" xfId="0" applyFont="1" applyFill="1" applyBorder="1" applyAlignment="1" applyProtection="1">
      <alignment vertical="center" wrapText="1"/>
      <protection locked="0"/>
    </xf>
    <xf numFmtId="0" fontId="14" fillId="8" borderId="7" xfId="0" applyFont="1" applyFill="1" applyBorder="1" applyAlignment="1" applyProtection="1">
      <alignment vertical="center" wrapText="1"/>
      <protection locked="0"/>
    </xf>
    <xf numFmtId="0" fontId="12" fillId="7" borderId="2" xfId="0" applyFont="1" applyFill="1" applyBorder="1" applyAlignment="1" applyProtection="1">
      <alignment vertical="center" wrapText="1"/>
      <protection locked="0"/>
    </xf>
    <xf numFmtId="0" fontId="12" fillId="7" borderId="2" xfId="0" applyFont="1" applyFill="1" applyBorder="1" applyAlignment="1" applyProtection="1">
      <alignment vertical="center" wrapText="1"/>
    </xf>
    <xf numFmtId="164" fontId="4" fillId="0" borderId="2" xfId="1" applyNumberFormat="1" applyFont="1" applyBorder="1" applyAlignment="1" applyProtection="1">
      <alignment vertical="top" wrapText="1"/>
    </xf>
    <xf numFmtId="164" fontId="7" fillId="0" borderId="2" xfId="1" applyNumberFormat="1" applyFont="1" applyBorder="1" applyAlignment="1" applyProtection="1">
      <alignment vertical="top"/>
    </xf>
    <xf numFmtId="164" fontId="7" fillId="0" borderId="10" xfId="1" applyNumberFormat="1" applyFont="1" applyBorder="1" applyAlignment="1" applyProtection="1">
      <alignment vertical="top"/>
    </xf>
    <xf numFmtId="164" fontId="7" fillId="0" borderId="2" xfId="1" applyNumberFormat="1" applyFont="1" applyFill="1" applyBorder="1" applyAlignment="1" applyProtection="1">
      <alignment vertical="top"/>
    </xf>
    <xf numFmtId="164" fontId="0" fillId="0" borderId="0" xfId="1" applyNumberFormat="1" applyFont="1" applyAlignment="1" applyProtection="1">
      <alignment vertical="top"/>
    </xf>
    <xf numFmtId="164" fontId="37" fillId="0" borderId="6" xfId="1" applyNumberFormat="1" applyFont="1" applyBorder="1" applyAlignment="1" applyProtection="1">
      <alignment vertical="top"/>
    </xf>
    <xf numFmtId="164" fontId="5" fillId="3" borderId="2" xfId="1" applyNumberFormat="1" applyFont="1" applyFill="1" applyBorder="1" applyAlignment="1" applyProtection="1">
      <alignment horizontal="center" vertical="top"/>
    </xf>
    <xf numFmtId="164" fontId="11" fillId="0" borderId="6" xfId="1" applyNumberFormat="1" applyFont="1" applyBorder="1" applyAlignment="1" applyProtection="1">
      <alignment vertical="top"/>
    </xf>
    <xf numFmtId="164" fontId="7" fillId="0" borderId="7" xfId="1" applyNumberFormat="1" applyFont="1" applyBorder="1" applyProtection="1"/>
    <xf numFmtId="164" fontId="7" fillId="0" borderId="21" xfId="1" applyNumberFormat="1" applyFont="1" applyBorder="1" applyProtection="1"/>
    <xf numFmtId="164" fontId="7" fillId="0" borderId="18" xfId="1" applyNumberFormat="1" applyFont="1" applyBorder="1" applyProtection="1"/>
    <xf numFmtId="164" fontId="7" fillId="3" borderId="2" xfId="1" applyNumberFormat="1" applyFont="1" applyFill="1" applyBorder="1" applyAlignment="1" applyProtection="1">
      <alignment vertical="top"/>
    </xf>
    <xf numFmtId="164" fontId="14" fillId="4" borderId="2" xfId="1" applyNumberFormat="1" applyFont="1" applyFill="1" applyBorder="1" applyAlignment="1" applyProtection="1">
      <alignment vertical="center" wrapText="1"/>
    </xf>
    <xf numFmtId="164" fontId="4" fillId="7" borderId="11" xfId="1" applyNumberFormat="1" applyFont="1" applyFill="1" applyBorder="1" applyAlignment="1" applyProtection="1">
      <alignment vertical="top" wrapText="1"/>
    </xf>
    <xf numFmtId="164" fontId="7" fillId="0" borderId="6" xfId="1" applyNumberFormat="1" applyFont="1" applyBorder="1" applyAlignment="1" applyProtection="1">
      <alignment vertical="top"/>
    </xf>
    <xf numFmtId="164" fontId="9" fillId="0" borderId="0" xfId="1" applyNumberFormat="1" applyFont="1" applyAlignment="1" applyProtection="1">
      <alignment horizontal="center" vertical="top"/>
    </xf>
    <xf numFmtId="0" fontId="17" fillId="6" borderId="2" xfId="0" applyFont="1" applyFill="1" applyBorder="1" applyAlignment="1" applyProtection="1"/>
    <xf numFmtId="164" fontId="4" fillId="7" borderId="2" xfId="1" applyNumberFormat="1" applyFont="1" applyFill="1" applyBorder="1" applyAlignment="1" applyProtection="1">
      <alignment vertical="top" wrapText="1"/>
    </xf>
    <xf numFmtId="164" fontId="5" fillId="0" borderId="2" xfId="1" applyNumberFormat="1" applyFont="1" applyBorder="1" applyAlignment="1" applyProtection="1">
      <alignment horizontal="left" vertical="top" wrapText="1"/>
    </xf>
    <xf numFmtId="0" fontId="14" fillId="8" borderId="16" xfId="0" applyFont="1" applyFill="1" applyBorder="1" applyAlignment="1" applyProtection="1">
      <alignment vertical="center" wrapText="1"/>
    </xf>
  </cellXfs>
  <cellStyles count="8">
    <cellStyle name="Comma" xfId="1" builtinId="3"/>
    <cellStyle name="Comma 2" xfId="5" xr:uid="{00000000-0005-0000-0000-000001000000}"/>
    <cellStyle name="Normal" xfId="0" builtinId="0"/>
    <cellStyle name="Normal 14" xfId="3" xr:uid="{00000000-0005-0000-0000-000003000000}"/>
    <cellStyle name="Normal 2" xfId="2" xr:uid="{00000000-0005-0000-0000-000004000000}"/>
    <cellStyle name="Normal 4" xfId="4" xr:uid="{00000000-0005-0000-0000-000005000000}"/>
    <cellStyle name="Normal 5" xfId="7" xr:uid="{00000000-0005-0000-0000-000006000000}"/>
    <cellStyle name="Normal 6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6"/>
  <sheetViews>
    <sheetView topLeftCell="A10" workbookViewId="0">
      <selection activeCell="C29" sqref="C29"/>
    </sheetView>
  </sheetViews>
  <sheetFormatPr defaultRowHeight="15" x14ac:dyDescent="0.25"/>
  <cols>
    <col min="2" max="2" width="20.42578125" bestFit="1" customWidth="1"/>
    <col min="3" max="3" width="60.7109375" bestFit="1" customWidth="1"/>
    <col min="4" max="4" width="27.140625" style="52" bestFit="1" customWidth="1"/>
    <col min="5" max="5" width="21.28515625" bestFit="1" customWidth="1"/>
    <col min="6" max="6" width="15" customWidth="1"/>
  </cols>
  <sheetData>
    <row r="4" spans="2:5" x14ac:dyDescent="0.25">
      <c r="B4" s="36" t="s">
        <v>0</v>
      </c>
      <c r="C4" s="36" t="s">
        <v>1</v>
      </c>
      <c r="D4" s="108" t="s">
        <v>2</v>
      </c>
    </row>
    <row r="5" spans="2:5" x14ac:dyDescent="0.25">
      <c r="B5" s="344" t="s">
        <v>3</v>
      </c>
      <c r="C5" s="32" t="str">
        <f>GITEBWE!A3</f>
        <v>1 CUBICLE PWD Toilet</v>
      </c>
      <c r="D5" s="103">
        <f>GITEBWE!F45</f>
        <v>0</v>
      </c>
    </row>
    <row r="6" spans="2:5" x14ac:dyDescent="0.25">
      <c r="B6" s="344"/>
      <c r="C6" s="32" t="str">
        <f>GITEBWE!A46</f>
        <v>20 CUBICLE FOR BOYS &amp; GIRLS' TOILETS</v>
      </c>
      <c r="D6" s="103">
        <f>GITEBWE!F110</f>
        <v>0</v>
      </c>
    </row>
    <row r="7" spans="2:5" x14ac:dyDescent="0.25">
      <c r="B7" s="344"/>
      <c r="C7" s="32" t="str">
        <f>GITEBWE!A111</f>
        <v>20 CUBICLE BOYS' TOILETS</v>
      </c>
      <c r="D7" s="103">
        <f>GITEBWE!F177</f>
        <v>0</v>
      </c>
    </row>
    <row r="8" spans="2:5" s="50" customFormat="1" x14ac:dyDescent="0.25">
      <c r="B8" s="344"/>
      <c r="C8" s="107" t="str">
        <f>GITEBWE!A178</f>
        <v>20 CUBICLES GIRLS' TOILETS</v>
      </c>
      <c r="D8" s="109">
        <f>GITEBWE!F242</f>
        <v>0</v>
      </c>
      <c r="E8"/>
    </row>
    <row r="9" spans="2:5" x14ac:dyDescent="0.25">
      <c r="B9" s="344" t="s">
        <v>4</v>
      </c>
      <c r="C9" s="32" t="str">
        <f>'ADEGI GITUZA'!B3</f>
        <v>1 CUBICLE FOR PWD Toilet</v>
      </c>
      <c r="D9" s="103">
        <f>'ADEGI GITUZA'!F45</f>
        <v>0</v>
      </c>
    </row>
    <row r="10" spans="2:5" x14ac:dyDescent="0.25">
      <c r="B10" s="344"/>
      <c r="C10" s="32" t="str">
        <f>'ADEGI GITUZA'!B46</f>
        <v>12 CUBICLE  BOYS' TOILET</v>
      </c>
      <c r="D10" s="103">
        <f>'ADEGI GITUZA'!F113</f>
        <v>0</v>
      </c>
    </row>
    <row r="11" spans="2:5" x14ac:dyDescent="0.25">
      <c r="B11" s="344"/>
      <c r="C11" s="32" t="str">
        <f>'ADEGI GITUZA'!B114</f>
        <v>12 CUBICLE S GIRLS' TOILET</v>
      </c>
      <c r="D11" s="103">
        <f>'ADEGI GITUZA'!F177</f>
        <v>0</v>
      </c>
    </row>
    <row r="12" spans="2:5" x14ac:dyDescent="0.25">
      <c r="B12" s="33" t="s">
        <v>5</v>
      </c>
      <c r="C12" s="32" t="str">
        <f>'Busetsa PS'!A3</f>
        <v xml:space="preserve"> BOYS, GIRLS &amp; PWD'S( 12 Cubicles with 1 for PWD)</v>
      </c>
      <c r="D12" s="103">
        <f>'Busetsa PS'!F75</f>
        <v>0</v>
      </c>
    </row>
    <row r="13" spans="2:5" x14ac:dyDescent="0.25">
      <c r="B13" s="33" t="s">
        <v>6</v>
      </c>
      <c r="C13" s="32" t="str">
        <f>NYAGISOZI!A3</f>
        <v xml:space="preserve">BOYS, GIRLS &amp; PWD' S TOILETS( 12 Cubicle with 1 Cubicle for PWD) </v>
      </c>
      <c r="D13" s="103">
        <f>NYAGISOZI!F76</f>
        <v>0</v>
      </c>
    </row>
    <row r="14" spans="2:5" x14ac:dyDescent="0.25">
      <c r="B14" s="344" t="s">
        <v>7</v>
      </c>
      <c r="C14" s="32" t="str">
        <f>NYARUBUYE!A3</f>
        <v>20 CUBICLES BOYS' TOILETS</v>
      </c>
      <c r="D14" s="103">
        <f>NYARUBUYE!F69</f>
        <v>0</v>
      </c>
    </row>
    <row r="15" spans="2:5" x14ac:dyDescent="0.25">
      <c r="B15" s="344"/>
      <c r="C15" s="34" t="str">
        <f>NYARUBUYE!A70</f>
        <v>BOYS &amp; PWD'S TOILETS(16 CUBICLE with 1 Door For PWD)</v>
      </c>
      <c r="D15" s="103">
        <f>NYARUBUYE!F140</f>
        <v>0</v>
      </c>
    </row>
    <row r="16" spans="2:5" s="50" customFormat="1" x14ac:dyDescent="0.25">
      <c r="B16" s="344"/>
      <c r="C16" s="107" t="str">
        <f>NYARUBUYE!A141</f>
        <v>20 CUBICLES GIRLS' TOILETS</v>
      </c>
      <c r="D16" s="109">
        <f>NYARUBUYE!F204</f>
        <v>0</v>
      </c>
      <c r="E16"/>
    </row>
    <row r="17" spans="2:5" x14ac:dyDescent="0.25">
      <c r="B17" s="344"/>
      <c r="C17" s="32" t="str">
        <f>NYARUBUYE!A205</f>
        <v>GIRLS &amp; PWD'S TOILETS(16 CUBICLES With 1 cubicle for PWD)</v>
      </c>
      <c r="D17" s="103">
        <f>NYARUBUYE!F274</f>
        <v>0</v>
      </c>
    </row>
    <row r="18" spans="2:5" x14ac:dyDescent="0.25">
      <c r="B18" s="33" t="s">
        <v>8</v>
      </c>
      <c r="C18" s="32" t="str">
        <f>'TVET GITUZA'!B3</f>
        <v xml:space="preserve"> BOYS, GIRLS &amp; PWD'S(6 For boys and 6 Girls with 1for PWD</v>
      </c>
      <c r="D18" s="103">
        <f>'TVET GITUZA'!F74</f>
        <v>0</v>
      </c>
    </row>
    <row r="19" spans="2:5" s="35" customFormat="1" x14ac:dyDescent="0.25">
      <c r="B19" s="345" t="s">
        <v>9</v>
      </c>
      <c r="C19" s="346"/>
      <c r="D19" s="108">
        <f>SUM(D5:D18)</f>
        <v>0</v>
      </c>
      <c r="E19" s="127"/>
    </row>
    <row r="21" spans="2:5" x14ac:dyDescent="0.25">
      <c r="B21" s="36" t="str">
        <f>C4</f>
        <v>WASH INFRASTRUCTURE</v>
      </c>
      <c r="C21" s="36" t="s">
        <v>10</v>
      </c>
      <c r="D21" s="110" t="s">
        <v>2</v>
      </c>
      <c r="E21" s="128"/>
    </row>
    <row r="22" spans="2:5" x14ac:dyDescent="0.25">
      <c r="B22" s="100" t="s">
        <v>11</v>
      </c>
      <c r="C22" s="101" t="s">
        <v>12</v>
      </c>
      <c r="D22" s="102">
        <f>'SIGLE GIRLS ROOM'!F102</f>
        <v>0</v>
      </c>
    </row>
    <row r="23" spans="2:5" x14ac:dyDescent="0.25">
      <c r="B23" s="100" t="s">
        <v>13</v>
      </c>
      <c r="C23" s="100" t="s">
        <v>14</v>
      </c>
      <c r="D23" s="102">
        <f>'DOUBLE GIRL''S ROOM'!F102</f>
        <v>0</v>
      </c>
    </row>
    <row r="26" spans="2:5" x14ac:dyDescent="0.25">
      <c r="B26" s="104" t="s">
        <v>15</v>
      </c>
      <c r="C26" s="105"/>
      <c r="D26" s="106">
        <f>D23+D19+D22</f>
        <v>0</v>
      </c>
    </row>
  </sheetData>
  <mergeCells count="4">
    <mergeCell ref="B5:B8"/>
    <mergeCell ref="B9:B11"/>
    <mergeCell ref="B14:B17"/>
    <mergeCell ref="B19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3"/>
  <sheetViews>
    <sheetView topLeftCell="A232" zoomScale="90" zoomScaleNormal="90" workbookViewId="0">
      <selection activeCell="E237" sqref="E237"/>
    </sheetView>
  </sheetViews>
  <sheetFormatPr defaultRowHeight="50.45" customHeight="1" x14ac:dyDescent="0.25"/>
  <cols>
    <col min="1" max="1" width="3.85546875" style="131" customWidth="1"/>
    <col min="2" max="2" width="43.42578125" style="132" customWidth="1"/>
    <col min="3" max="3" width="16.85546875" style="162" customWidth="1"/>
    <col min="4" max="4" width="17.140625" style="343" customWidth="1"/>
    <col min="5" max="5" width="15.85546875" style="162" customWidth="1"/>
    <col min="6" max="6" width="17.42578125" style="163" bestFit="1" customWidth="1"/>
    <col min="7" max="7" width="12.5703125" style="132" bestFit="1" customWidth="1"/>
    <col min="8" max="8" width="10" style="132" customWidth="1"/>
    <col min="9" max="9" width="17.5703125" style="132" customWidth="1"/>
    <col min="10" max="10" width="16" style="132" customWidth="1"/>
    <col min="11" max="16384" width="9.140625" style="132"/>
  </cols>
  <sheetData>
    <row r="1" spans="1:6" ht="27.75" customHeight="1" x14ac:dyDescent="0.25">
      <c r="B1" s="349" t="s">
        <v>16</v>
      </c>
      <c r="C1" s="349"/>
      <c r="D1" s="270"/>
      <c r="E1" s="166"/>
      <c r="F1" s="166"/>
    </row>
    <row r="2" spans="1:6" s="133" customFormat="1" ht="21" x14ac:dyDescent="0.35">
      <c r="A2" s="165"/>
      <c r="B2" s="165"/>
      <c r="C2" s="165"/>
      <c r="D2" s="328"/>
      <c r="E2" s="165"/>
      <c r="F2" s="165"/>
    </row>
    <row r="3" spans="1:6" s="133" customFormat="1" ht="21" customHeight="1" x14ac:dyDescent="0.35">
      <c r="A3" s="347" t="s">
        <v>17</v>
      </c>
      <c r="B3" s="348"/>
      <c r="C3" s="327"/>
      <c r="D3" s="329"/>
      <c r="E3" s="347"/>
      <c r="F3" s="348"/>
    </row>
    <row r="4" spans="1:6" s="138" customFormat="1" ht="15" x14ac:dyDescent="0.25">
      <c r="A4" s="134" t="s">
        <v>18</v>
      </c>
      <c r="B4" s="135" t="s">
        <v>19</v>
      </c>
      <c r="C4" s="136" t="s">
        <v>20</v>
      </c>
      <c r="D4" s="330" t="s">
        <v>21</v>
      </c>
      <c r="E4" s="134" t="s">
        <v>22</v>
      </c>
      <c r="F4" s="137" t="s">
        <v>23</v>
      </c>
    </row>
    <row r="5" spans="1:6" ht="15" x14ac:dyDescent="0.25">
      <c r="A5" s="26" t="s">
        <v>24</v>
      </c>
      <c r="B5" s="56" t="s">
        <v>25</v>
      </c>
      <c r="C5" s="46" t="s">
        <v>26</v>
      </c>
      <c r="D5" s="274">
        <v>1</v>
      </c>
      <c r="E5" s="74"/>
      <c r="F5" s="87">
        <f>D5*E5</f>
        <v>0</v>
      </c>
    </row>
    <row r="6" spans="1:6" s="138" customFormat="1" ht="18" x14ac:dyDescent="0.25">
      <c r="A6" s="26" t="s">
        <v>27</v>
      </c>
      <c r="B6" s="56" t="s">
        <v>28</v>
      </c>
      <c r="C6" s="46" t="s">
        <v>29</v>
      </c>
      <c r="D6" s="274">
        <f>8*6.9</f>
        <v>55.2</v>
      </c>
      <c r="E6" s="75"/>
      <c r="F6" s="87">
        <f t="shared" ref="F6:F43" si="0">D6*E6</f>
        <v>0</v>
      </c>
    </row>
    <row r="7" spans="1:6" s="138" customFormat="1" ht="18" x14ac:dyDescent="0.25">
      <c r="A7" s="26" t="s">
        <v>30</v>
      </c>
      <c r="B7" s="56" t="s">
        <v>31</v>
      </c>
      <c r="C7" s="46" t="s">
        <v>32</v>
      </c>
      <c r="D7" s="274">
        <f>D6*0.5</f>
        <v>27.6</v>
      </c>
      <c r="E7" s="74"/>
      <c r="F7" s="87">
        <f t="shared" si="0"/>
        <v>0</v>
      </c>
    </row>
    <row r="8" spans="1:6" s="138" customFormat="1" ht="45" x14ac:dyDescent="0.25">
      <c r="A8" s="26" t="s">
        <v>33</v>
      </c>
      <c r="B8" s="56" t="s">
        <v>34</v>
      </c>
      <c r="C8" s="46" t="s">
        <v>32</v>
      </c>
      <c r="D8" s="274">
        <f>7*5.9*3</f>
        <v>123.9</v>
      </c>
      <c r="E8" s="75"/>
      <c r="F8" s="87">
        <f t="shared" si="0"/>
        <v>0</v>
      </c>
    </row>
    <row r="9" spans="1:6" ht="18" x14ac:dyDescent="0.25">
      <c r="A9" s="26" t="s">
        <v>35</v>
      </c>
      <c r="B9" s="5" t="s">
        <v>36</v>
      </c>
      <c r="C9" s="46" t="s">
        <v>32</v>
      </c>
      <c r="D9" s="275">
        <f>(4+2.9)*2*1.5*3</f>
        <v>62.100000000000009</v>
      </c>
      <c r="E9" s="54"/>
      <c r="F9" s="87">
        <f t="shared" si="0"/>
        <v>0</v>
      </c>
    </row>
    <row r="10" spans="1:6" s="138" customFormat="1" ht="18" x14ac:dyDescent="0.25">
      <c r="A10" s="26" t="s">
        <v>37</v>
      </c>
      <c r="B10" s="5" t="s">
        <v>38</v>
      </c>
      <c r="C10" s="46" t="s">
        <v>32</v>
      </c>
      <c r="D10" s="274">
        <f>D7+D8-D9</f>
        <v>89.399999999999991</v>
      </c>
      <c r="E10" s="54"/>
      <c r="F10" s="87">
        <f t="shared" si="0"/>
        <v>0</v>
      </c>
    </row>
    <row r="11" spans="1:6" s="138" customFormat="1" ht="45" x14ac:dyDescent="0.25">
      <c r="A11" s="26" t="s">
        <v>39</v>
      </c>
      <c r="B11" s="5" t="s">
        <v>40</v>
      </c>
      <c r="C11" s="46" t="s">
        <v>32</v>
      </c>
      <c r="D11" s="274">
        <f>(3.6+2.5)*2*0.4*0.05</f>
        <v>0.24399999999999999</v>
      </c>
      <c r="E11" s="54"/>
      <c r="F11" s="87">
        <f t="shared" si="0"/>
        <v>0</v>
      </c>
    </row>
    <row r="12" spans="1:6" s="138" customFormat="1" ht="45" x14ac:dyDescent="0.25">
      <c r="A12" s="26" t="s">
        <v>41</v>
      </c>
      <c r="B12" s="5" t="s">
        <v>42</v>
      </c>
      <c r="C12" s="6" t="s">
        <v>43</v>
      </c>
      <c r="D12" s="274">
        <f>(3.6+2.5)*2*0.4*3.6</f>
        <v>17.568000000000001</v>
      </c>
      <c r="E12" s="54"/>
      <c r="F12" s="87">
        <f t="shared" si="0"/>
        <v>0</v>
      </c>
    </row>
    <row r="13" spans="1:6" s="138" customFormat="1" ht="15" x14ac:dyDescent="0.25">
      <c r="A13" s="26" t="s">
        <v>44</v>
      </c>
      <c r="B13" s="5" t="s">
        <v>45</v>
      </c>
      <c r="C13" s="6" t="s">
        <v>43</v>
      </c>
      <c r="D13" s="274">
        <f>(3.6+2.5)*2*0.4*0.05</f>
        <v>0.24399999999999999</v>
      </c>
      <c r="E13" s="54"/>
      <c r="F13" s="87">
        <f t="shared" si="0"/>
        <v>0</v>
      </c>
    </row>
    <row r="14" spans="1:6" ht="15" x14ac:dyDescent="0.25">
      <c r="A14" s="26" t="s">
        <v>46</v>
      </c>
      <c r="B14" s="5" t="s">
        <v>47</v>
      </c>
      <c r="C14" s="6" t="s">
        <v>43</v>
      </c>
      <c r="D14" s="274">
        <f>(3.6+2.5)*2*0.25*0.2*3</f>
        <v>1.83</v>
      </c>
      <c r="E14" s="54"/>
      <c r="F14" s="87">
        <f t="shared" si="0"/>
        <v>0</v>
      </c>
    </row>
    <row r="15" spans="1:6" s="138" customFormat="1" ht="30" x14ac:dyDescent="0.25">
      <c r="A15" s="26" t="s">
        <v>48</v>
      </c>
      <c r="B15" s="5" t="s">
        <v>49</v>
      </c>
      <c r="C15" s="6" t="s">
        <v>50</v>
      </c>
      <c r="D15" s="274">
        <f>(3.2+2.1)*2*3</f>
        <v>31.800000000000004</v>
      </c>
      <c r="E15" s="54"/>
      <c r="F15" s="87">
        <f t="shared" si="0"/>
        <v>0</v>
      </c>
    </row>
    <row r="16" spans="1:6" ht="30" x14ac:dyDescent="0.25">
      <c r="A16" s="26" t="s">
        <v>51</v>
      </c>
      <c r="B16" s="5" t="s">
        <v>52</v>
      </c>
      <c r="C16" s="6" t="s">
        <v>43</v>
      </c>
      <c r="D16" s="274">
        <f>3.2*2.1*0.3</f>
        <v>2.016</v>
      </c>
      <c r="E16" s="54"/>
      <c r="F16" s="87">
        <f t="shared" si="0"/>
        <v>0</v>
      </c>
    </row>
    <row r="17" spans="1:6" s="138" customFormat="1" ht="45" x14ac:dyDescent="0.25">
      <c r="A17" s="26" t="s">
        <v>53</v>
      </c>
      <c r="B17" s="5" t="s">
        <v>54</v>
      </c>
      <c r="C17" s="6" t="s">
        <v>55</v>
      </c>
      <c r="D17" s="274">
        <v>1</v>
      </c>
      <c r="E17" s="54"/>
      <c r="F17" s="87">
        <f t="shared" si="0"/>
        <v>0</v>
      </c>
    </row>
    <row r="18" spans="1:6" s="138" customFormat="1" ht="30" x14ac:dyDescent="0.25">
      <c r="A18" s="26" t="s">
        <v>56</v>
      </c>
      <c r="B18" s="5" t="s">
        <v>57</v>
      </c>
      <c r="C18" s="6" t="s">
        <v>43</v>
      </c>
      <c r="D18" s="274">
        <f>4.6*3.6*0.15-D19</f>
        <v>2.3579999999999997</v>
      </c>
      <c r="E18" s="54"/>
      <c r="F18" s="87">
        <f t="shared" si="0"/>
        <v>0</v>
      </c>
    </row>
    <row r="19" spans="1:6" s="138" customFormat="1" ht="30" x14ac:dyDescent="0.25">
      <c r="A19" s="26" t="s">
        <v>58</v>
      </c>
      <c r="B19" s="5" t="s">
        <v>59</v>
      </c>
      <c r="C19" s="6" t="s">
        <v>50</v>
      </c>
      <c r="D19" s="274">
        <f>0.7*0.6*0.15*2</f>
        <v>0.126</v>
      </c>
      <c r="E19" s="54"/>
      <c r="F19" s="87">
        <f t="shared" si="0"/>
        <v>0</v>
      </c>
    </row>
    <row r="20" spans="1:6" s="138" customFormat="1" ht="15" x14ac:dyDescent="0.25">
      <c r="A20" s="26" t="s">
        <v>60</v>
      </c>
      <c r="B20" s="5" t="s">
        <v>61</v>
      </c>
      <c r="C20" s="6" t="s">
        <v>62</v>
      </c>
      <c r="D20" s="274">
        <f>2.4*2+2.3*2-1.2</f>
        <v>8.1999999999999993</v>
      </c>
      <c r="E20" s="54"/>
      <c r="F20" s="87">
        <f t="shared" si="0"/>
        <v>0</v>
      </c>
    </row>
    <row r="21" spans="1:6" s="138" customFormat="1" ht="30" x14ac:dyDescent="0.25">
      <c r="A21" s="26" t="s">
        <v>63</v>
      </c>
      <c r="B21" s="5" t="s">
        <v>64</v>
      </c>
      <c r="C21" s="6" t="s">
        <v>50</v>
      </c>
      <c r="D21" s="276">
        <f>9.4*3-1.2*2.1</f>
        <v>25.680000000000003</v>
      </c>
      <c r="E21" s="54"/>
      <c r="F21" s="87">
        <f t="shared" si="0"/>
        <v>0</v>
      </c>
    </row>
    <row r="22" spans="1:6" ht="15" x14ac:dyDescent="0.25">
      <c r="A22" s="26" t="s">
        <v>65</v>
      </c>
      <c r="B22" s="5" t="s">
        <v>66</v>
      </c>
      <c r="C22" s="6" t="s">
        <v>67</v>
      </c>
      <c r="D22" s="274">
        <v>1</v>
      </c>
      <c r="E22" s="54"/>
      <c r="F22" s="87">
        <f t="shared" si="0"/>
        <v>0</v>
      </c>
    </row>
    <row r="23" spans="1:6" s="138" customFormat="1" ht="15" x14ac:dyDescent="0.25">
      <c r="A23" s="26" t="s">
        <v>68</v>
      </c>
      <c r="B23" s="5" t="s">
        <v>69</v>
      </c>
      <c r="C23" s="6" t="s">
        <v>70</v>
      </c>
      <c r="D23" s="276">
        <f>20.7</f>
        <v>20.7</v>
      </c>
      <c r="E23" s="54"/>
      <c r="F23" s="87">
        <f t="shared" si="0"/>
        <v>0</v>
      </c>
    </row>
    <row r="24" spans="1:6" s="138" customFormat="1" ht="45" x14ac:dyDescent="0.25">
      <c r="A24" s="26" t="s">
        <v>71</v>
      </c>
      <c r="B24" s="5" t="s">
        <v>72</v>
      </c>
      <c r="C24" s="6" t="s">
        <v>50</v>
      </c>
      <c r="D24" s="274">
        <f>3.3*3.6*1.15</f>
        <v>13.661999999999997</v>
      </c>
      <c r="E24" s="54"/>
      <c r="F24" s="87">
        <f t="shared" si="0"/>
        <v>0</v>
      </c>
    </row>
    <row r="25" spans="1:6" s="139" customFormat="1" ht="15" x14ac:dyDescent="0.25">
      <c r="A25" s="26" t="s">
        <v>73</v>
      </c>
      <c r="B25" s="5" t="s">
        <v>74</v>
      </c>
      <c r="C25" s="6" t="s">
        <v>70</v>
      </c>
      <c r="D25" s="274">
        <v>3.3</v>
      </c>
      <c r="E25" s="54"/>
      <c r="F25" s="87">
        <f t="shared" si="0"/>
        <v>0</v>
      </c>
    </row>
    <row r="26" spans="1:6" ht="15" x14ac:dyDescent="0.25">
      <c r="A26" s="26" t="s">
        <v>75</v>
      </c>
      <c r="B26" s="5" t="s">
        <v>76</v>
      </c>
      <c r="C26" s="6" t="s">
        <v>70</v>
      </c>
      <c r="D26" s="274">
        <f>3.3+3.6*2</f>
        <v>10.5</v>
      </c>
      <c r="E26" s="54"/>
      <c r="F26" s="87">
        <f t="shared" si="0"/>
        <v>0</v>
      </c>
    </row>
    <row r="27" spans="1:6" ht="45" x14ac:dyDescent="0.25">
      <c r="A27" s="26" t="s">
        <v>77</v>
      </c>
      <c r="B27" s="5" t="s">
        <v>78</v>
      </c>
      <c r="C27" s="6" t="s">
        <v>79</v>
      </c>
      <c r="D27" s="27">
        <v>1</v>
      </c>
      <c r="E27" s="54"/>
      <c r="F27" s="87">
        <f t="shared" si="0"/>
        <v>0</v>
      </c>
    </row>
    <row r="28" spans="1:6" ht="45" x14ac:dyDescent="0.25">
      <c r="A28" s="26" t="s">
        <v>80</v>
      </c>
      <c r="B28" s="5" t="s">
        <v>81</v>
      </c>
      <c r="C28" s="6" t="s">
        <v>50</v>
      </c>
      <c r="D28" s="274">
        <f>(2.2+2.1)*2*3-1.2*2.1</f>
        <v>23.280000000000005</v>
      </c>
      <c r="E28" s="54"/>
      <c r="F28" s="87">
        <f t="shared" si="0"/>
        <v>0</v>
      </c>
    </row>
    <row r="29" spans="1:6" s="139" customFormat="1" ht="30" x14ac:dyDescent="0.25">
      <c r="A29" s="26" t="s">
        <v>82</v>
      </c>
      <c r="B29" s="5" t="s">
        <v>83</v>
      </c>
      <c r="C29" s="6" t="s">
        <v>50</v>
      </c>
      <c r="D29" s="274">
        <f>(2.6+2.5)*2*3-1.2*2.1</f>
        <v>28.08</v>
      </c>
      <c r="E29" s="54"/>
      <c r="F29" s="87">
        <f t="shared" si="0"/>
        <v>0</v>
      </c>
    </row>
    <row r="30" spans="1:6" s="139" customFormat="1" ht="30" x14ac:dyDescent="0.25">
      <c r="A30" s="26" t="s">
        <v>84</v>
      </c>
      <c r="B30" s="5" t="s">
        <v>85</v>
      </c>
      <c r="C30" s="6" t="s">
        <v>26</v>
      </c>
      <c r="D30" s="274">
        <v>1</v>
      </c>
      <c r="E30" s="54"/>
      <c r="F30" s="87">
        <f t="shared" si="0"/>
        <v>0</v>
      </c>
    </row>
    <row r="31" spans="1:6" s="141" customFormat="1" ht="45" x14ac:dyDescent="0.25">
      <c r="A31" s="26" t="s">
        <v>86</v>
      </c>
      <c r="B31" s="5" t="s">
        <v>87</v>
      </c>
      <c r="C31" s="6" t="s">
        <v>88</v>
      </c>
      <c r="D31" s="274">
        <v>1</v>
      </c>
      <c r="E31" s="54"/>
      <c r="F31" s="87">
        <f>D31*E31</f>
        <v>0</v>
      </c>
    </row>
    <row r="32" spans="1:6" s="142" customFormat="1" ht="15" x14ac:dyDescent="0.25">
      <c r="A32" s="26" t="s">
        <v>89</v>
      </c>
      <c r="B32" s="5" t="s">
        <v>90</v>
      </c>
      <c r="C32" s="6" t="s">
        <v>70</v>
      </c>
      <c r="D32" s="274">
        <f>(2.2+2.1)*2-1.2</f>
        <v>7.4000000000000012</v>
      </c>
      <c r="E32" s="54"/>
      <c r="F32" s="87">
        <f t="shared" si="0"/>
        <v>0</v>
      </c>
    </row>
    <row r="33" spans="1:6" ht="30" x14ac:dyDescent="0.25">
      <c r="A33" s="26" t="s">
        <v>91</v>
      </c>
      <c r="B33" s="5" t="s">
        <v>92</v>
      </c>
      <c r="C33" s="6" t="s">
        <v>43</v>
      </c>
      <c r="D33" s="274">
        <f>3.6*3.3*0.05</f>
        <v>0.59399999999999997</v>
      </c>
      <c r="E33" s="54"/>
      <c r="F33" s="87">
        <f t="shared" si="0"/>
        <v>0</v>
      </c>
    </row>
    <row r="34" spans="1:6" s="139" customFormat="1" ht="15" x14ac:dyDescent="0.25">
      <c r="A34" s="26" t="s">
        <v>93</v>
      </c>
      <c r="B34" s="5" t="s">
        <v>94</v>
      </c>
      <c r="C34" s="6" t="s">
        <v>50</v>
      </c>
      <c r="D34" s="274">
        <f>2.6*2.5</f>
        <v>6.5</v>
      </c>
      <c r="E34" s="54"/>
      <c r="F34" s="87">
        <f t="shared" si="0"/>
        <v>0</v>
      </c>
    </row>
    <row r="35" spans="1:6" ht="15" x14ac:dyDescent="0.25">
      <c r="A35" s="26" t="s">
        <v>95</v>
      </c>
      <c r="B35" s="5" t="s">
        <v>96</v>
      </c>
      <c r="C35" s="6" t="s">
        <v>50</v>
      </c>
      <c r="D35" s="274">
        <f>3.5*3.3-D34</f>
        <v>5.0499999999999989</v>
      </c>
      <c r="E35" s="54"/>
      <c r="F35" s="87">
        <f t="shared" si="0"/>
        <v>0</v>
      </c>
    </row>
    <row r="36" spans="1:6" ht="45" x14ac:dyDescent="0.25">
      <c r="A36" s="26" t="s">
        <v>97</v>
      </c>
      <c r="B36" s="5" t="s">
        <v>98</v>
      </c>
      <c r="C36" s="6" t="s">
        <v>88</v>
      </c>
      <c r="D36" s="274">
        <v>1</v>
      </c>
      <c r="E36" s="54"/>
      <c r="F36" s="87">
        <f t="shared" si="0"/>
        <v>0</v>
      </c>
    </row>
    <row r="37" spans="1:6" ht="30" x14ac:dyDescent="0.25">
      <c r="A37" s="26" t="s">
        <v>99</v>
      </c>
      <c r="B37" s="5" t="s">
        <v>100</v>
      </c>
      <c r="C37" s="6" t="s">
        <v>88</v>
      </c>
      <c r="D37" s="274">
        <v>1</v>
      </c>
      <c r="E37" s="54"/>
      <c r="F37" s="87">
        <f t="shared" si="0"/>
        <v>0</v>
      </c>
    </row>
    <row r="38" spans="1:6" ht="15" x14ac:dyDescent="0.25">
      <c r="A38" s="26" t="s">
        <v>101</v>
      </c>
      <c r="B38" s="5" t="s">
        <v>102</v>
      </c>
      <c r="C38" s="6" t="s">
        <v>88</v>
      </c>
      <c r="D38" s="274">
        <v>1</v>
      </c>
      <c r="E38" s="54"/>
      <c r="F38" s="87">
        <f t="shared" si="0"/>
        <v>0</v>
      </c>
    </row>
    <row r="39" spans="1:6" ht="30" x14ac:dyDescent="0.25">
      <c r="A39" s="26" t="s">
        <v>103</v>
      </c>
      <c r="B39" s="5" t="s">
        <v>104</v>
      </c>
      <c r="C39" s="6" t="s">
        <v>50</v>
      </c>
      <c r="D39" s="274">
        <v>0</v>
      </c>
      <c r="E39" s="54"/>
      <c r="F39" s="87">
        <f t="shared" si="0"/>
        <v>0</v>
      </c>
    </row>
    <row r="40" spans="1:6" ht="15" x14ac:dyDescent="0.25">
      <c r="A40" s="26" t="s">
        <v>105</v>
      </c>
      <c r="B40" s="5" t="s">
        <v>106</v>
      </c>
      <c r="C40" s="6" t="s">
        <v>26</v>
      </c>
      <c r="D40" s="274">
        <v>1</v>
      </c>
      <c r="E40" s="54"/>
      <c r="F40" s="88">
        <f t="shared" si="0"/>
        <v>0</v>
      </c>
    </row>
    <row r="41" spans="1:6" ht="30" x14ac:dyDescent="0.25">
      <c r="A41" s="26" t="s">
        <v>107</v>
      </c>
      <c r="B41" s="5" t="s">
        <v>108</v>
      </c>
      <c r="C41" s="6" t="s">
        <v>50</v>
      </c>
      <c r="D41" s="274">
        <f>D28</f>
        <v>23.280000000000005</v>
      </c>
      <c r="E41" s="54"/>
      <c r="F41" s="88">
        <f t="shared" si="0"/>
        <v>0</v>
      </c>
    </row>
    <row r="42" spans="1:6" ht="60" x14ac:dyDescent="0.25">
      <c r="A42" s="26" t="s">
        <v>109</v>
      </c>
      <c r="B42" s="5" t="s">
        <v>110</v>
      </c>
      <c r="C42" s="6" t="s">
        <v>88</v>
      </c>
      <c r="D42" s="274">
        <v>1</v>
      </c>
      <c r="E42" s="54"/>
      <c r="F42" s="87">
        <f t="shared" si="0"/>
        <v>0</v>
      </c>
    </row>
    <row r="43" spans="1:6" ht="30" x14ac:dyDescent="0.25">
      <c r="A43" s="26" t="s">
        <v>111</v>
      </c>
      <c r="B43" s="5" t="s">
        <v>112</v>
      </c>
      <c r="C43" s="6" t="s">
        <v>43</v>
      </c>
      <c r="D43" s="274">
        <f>4*2.9*0.1</f>
        <v>1.1599999999999999</v>
      </c>
      <c r="E43" s="54"/>
      <c r="F43" s="87">
        <f t="shared" si="0"/>
        <v>0</v>
      </c>
    </row>
    <row r="44" spans="1:6" ht="15" x14ac:dyDescent="0.25">
      <c r="A44" s="73"/>
      <c r="B44" s="59" t="s">
        <v>113</v>
      </c>
      <c r="C44" s="59"/>
      <c r="D44" s="325"/>
      <c r="E44" s="58"/>
      <c r="F44" s="61">
        <f>SUM(F5:F43)</f>
        <v>0</v>
      </c>
    </row>
    <row r="45" spans="1:6" ht="39" x14ac:dyDescent="0.25">
      <c r="A45" s="58"/>
      <c r="B45" s="143" t="s">
        <v>114</v>
      </c>
      <c r="C45" s="143"/>
      <c r="D45" s="322"/>
      <c r="E45" s="144"/>
      <c r="F45" s="62">
        <f>SUM(+F44)</f>
        <v>0</v>
      </c>
    </row>
    <row r="46" spans="1:6" s="133" customFormat="1" ht="21" customHeight="1" x14ac:dyDescent="0.35">
      <c r="A46" s="352" t="s">
        <v>115</v>
      </c>
      <c r="B46" s="353"/>
      <c r="C46" s="145"/>
      <c r="D46" s="331"/>
      <c r="E46" s="145"/>
      <c r="F46" s="146"/>
    </row>
    <row r="47" spans="1:6" ht="15" x14ac:dyDescent="0.25">
      <c r="A47" s="26" t="s">
        <v>24</v>
      </c>
      <c r="B47" s="56" t="s">
        <v>25</v>
      </c>
      <c r="C47" s="46" t="s">
        <v>26</v>
      </c>
      <c r="D47" s="332">
        <v>1</v>
      </c>
      <c r="E47" s="74"/>
      <c r="F47" s="87">
        <f t="shared" ref="F47:F91" si="1">D47*E47</f>
        <v>0</v>
      </c>
    </row>
    <row r="48" spans="1:6" s="138" customFormat="1" ht="18" x14ac:dyDescent="0.25">
      <c r="A48" s="26" t="s">
        <v>27</v>
      </c>
      <c r="B48" s="56" t="s">
        <v>28</v>
      </c>
      <c r="C48" s="46" t="s">
        <v>29</v>
      </c>
      <c r="D48" s="332">
        <f>14.4*9</f>
        <v>129.6</v>
      </c>
      <c r="E48" s="75"/>
      <c r="F48" s="87">
        <f t="shared" si="1"/>
        <v>0</v>
      </c>
    </row>
    <row r="49" spans="1:6" s="138" customFormat="1" ht="18" x14ac:dyDescent="0.25">
      <c r="A49" s="26" t="s">
        <v>30</v>
      </c>
      <c r="B49" s="56" t="s">
        <v>31</v>
      </c>
      <c r="C49" s="46" t="s">
        <v>32</v>
      </c>
      <c r="D49" s="332">
        <f>D48*0.5</f>
        <v>64.8</v>
      </c>
      <c r="E49" s="74"/>
      <c r="F49" s="87">
        <f t="shared" si="1"/>
        <v>0</v>
      </c>
    </row>
    <row r="50" spans="1:6" s="138" customFormat="1" ht="45" x14ac:dyDescent="0.25">
      <c r="A50" s="26" t="s">
        <v>33</v>
      </c>
      <c r="B50" s="56" t="s">
        <v>34</v>
      </c>
      <c r="C50" s="46" t="s">
        <v>32</v>
      </c>
      <c r="D50" s="332">
        <f>17.5*5.9*3</f>
        <v>309.75</v>
      </c>
      <c r="E50" s="75"/>
      <c r="F50" s="87">
        <f t="shared" si="1"/>
        <v>0</v>
      </c>
    </row>
    <row r="51" spans="1:6" ht="18" x14ac:dyDescent="0.25">
      <c r="A51" s="26" t="s">
        <v>35</v>
      </c>
      <c r="B51" s="5" t="s">
        <v>36</v>
      </c>
      <c r="C51" s="46" t="s">
        <v>32</v>
      </c>
      <c r="D51" s="333">
        <f>(14.5+2.9)*2*1.5*3</f>
        <v>156.6</v>
      </c>
      <c r="E51" s="54"/>
      <c r="F51" s="87">
        <f t="shared" si="1"/>
        <v>0</v>
      </c>
    </row>
    <row r="52" spans="1:6" s="138" customFormat="1" ht="18" x14ac:dyDescent="0.25">
      <c r="A52" s="26" t="s">
        <v>37</v>
      </c>
      <c r="B52" s="5" t="s">
        <v>38</v>
      </c>
      <c r="C52" s="46" t="s">
        <v>32</v>
      </c>
      <c r="D52" s="332">
        <f>D49+D50-D51</f>
        <v>217.95000000000002</v>
      </c>
      <c r="E52" s="54"/>
      <c r="F52" s="87">
        <f t="shared" si="1"/>
        <v>0</v>
      </c>
    </row>
    <row r="53" spans="1:6" s="138" customFormat="1" ht="45" x14ac:dyDescent="0.25">
      <c r="A53" s="26" t="s">
        <v>39</v>
      </c>
      <c r="B53" s="5" t="s">
        <v>40</v>
      </c>
      <c r="C53" s="46" t="s">
        <v>32</v>
      </c>
      <c r="D53" s="332">
        <f>(14.1+2.5)*0.4*0.05</f>
        <v>0.33200000000000007</v>
      </c>
      <c r="E53" s="54"/>
      <c r="F53" s="87">
        <f t="shared" si="1"/>
        <v>0</v>
      </c>
    </row>
    <row r="54" spans="1:6" s="138" customFormat="1" ht="45" x14ac:dyDescent="0.25">
      <c r="A54" s="26" t="s">
        <v>41</v>
      </c>
      <c r="B54" s="5" t="s">
        <v>42</v>
      </c>
      <c r="C54" s="6" t="s">
        <v>43</v>
      </c>
      <c r="D54" s="332">
        <f>(14.1+2.5)*0.4*3.6</f>
        <v>23.904000000000003</v>
      </c>
      <c r="E54" s="54"/>
      <c r="F54" s="87">
        <f t="shared" si="1"/>
        <v>0</v>
      </c>
    </row>
    <row r="55" spans="1:6" s="138" customFormat="1" ht="15" x14ac:dyDescent="0.25">
      <c r="A55" s="26" t="s">
        <v>44</v>
      </c>
      <c r="B55" s="5" t="s">
        <v>45</v>
      </c>
      <c r="C55" s="6" t="s">
        <v>43</v>
      </c>
      <c r="D55" s="332">
        <f>(14.1+2.5)*0.4*0.05</f>
        <v>0.33200000000000007</v>
      </c>
      <c r="E55" s="54"/>
      <c r="F55" s="87">
        <f t="shared" si="1"/>
        <v>0</v>
      </c>
    </row>
    <row r="56" spans="1:6" ht="15" x14ac:dyDescent="0.25">
      <c r="A56" s="26" t="s">
        <v>46</v>
      </c>
      <c r="B56" s="5" t="s">
        <v>47</v>
      </c>
      <c r="C56" s="6" t="s">
        <v>43</v>
      </c>
      <c r="D56" s="332">
        <f>(14.1+2.5)*0.25*0.2*3</f>
        <v>2.4900000000000002</v>
      </c>
      <c r="E56" s="54"/>
      <c r="F56" s="87">
        <f t="shared" si="1"/>
        <v>0</v>
      </c>
    </row>
    <row r="57" spans="1:6" s="138" customFormat="1" ht="30" x14ac:dyDescent="0.25">
      <c r="A57" s="26" t="s">
        <v>48</v>
      </c>
      <c r="B57" s="5" t="s">
        <v>49</v>
      </c>
      <c r="C57" s="6" t="s">
        <v>50</v>
      </c>
      <c r="D57" s="332">
        <f>(13.7+2.1)*2*3</f>
        <v>94.8</v>
      </c>
      <c r="E57" s="54"/>
      <c r="F57" s="87">
        <f t="shared" si="1"/>
        <v>0</v>
      </c>
    </row>
    <row r="58" spans="1:6" ht="30" x14ac:dyDescent="0.25">
      <c r="A58" s="26" t="s">
        <v>51</v>
      </c>
      <c r="B58" s="5" t="s">
        <v>52</v>
      </c>
      <c r="C58" s="6" t="s">
        <v>43</v>
      </c>
      <c r="D58" s="332">
        <f>13.7*2.1*0.3</f>
        <v>8.6310000000000002</v>
      </c>
      <c r="E58" s="54"/>
      <c r="F58" s="87">
        <f t="shared" si="1"/>
        <v>0</v>
      </c>
    </row>
    <row r="59" spans="1:6" s="138" customFormat="1" ht="45" x14ac:dyDescent="0.25">
      <c r="A59" s="26" t="s">
        <v>53</v>
      </c>
      <c r="B59" s="5" t="s">
        <v>54</v>
      </c>
      <c r="C59" s="6" t="s">
        <v>55</v>
      </c>
      <c r="D59" s="332">
        <v>1</v>
      </c>
      <c r="E59" s="54"/>
      <c r="F59" s="87">
        <f t="shared" si="1"/>
        <v>0</v>
      </c>
    </row>
    <row r="60" spans="1:6" s="138" customFormat="1" ht="30" x14ac:dyDescent="0.25">
      <c r="A60" s="26" t="s">
        <v>56</v>
      </c>
      <c r="B60" s="5" t="s">
        <v>57</v>
      </c>
      <c r="C60" s="6" t="s">
        <v>43</v>
      </c>
      <c r="D60" s="332">
        <f>13.4*8*0.15</f>
        <v>16.079999999999998</v>
      </c>
      <c r="E60" s="54"/>
      <c r="F60" s="87">
        <f t="shared" si="1"/>
        <v>0</v>
      </c>
    </row>
    <row r="61" spans="1:6" s="138" customFormat="1" ht="30" x14ac:dyDescent="0.25">
      <c r="A61" s="26" t="s">
        <v>58</v>
      </c>
      <c r="B61" s="5" t="s">
        <v>59</v>
      </c>
      <c r="C61" s="6" t="s">
        <v>50</v>
      </c>
      <c r="D61" s="332">
        <f>0.7*1.5*0.15*2</f>
        <v>0.31499999999999995</v>
      </c>
      <c r="E61" s="54"/>
      <c r="F61" s="87">
        <f t="shared" si="1"/>
        <v>0</v>
      </c>
    </row>
    <row r="62" spans="1:6" ht="15" x14ac:dyDescent="0.25">
      <c r="A62" s="26" t="s">
        <v>116</v>
      </c>
      <c r="B62" s="5" t="s">
        <v>61</v>
      </c>
      <c r="C62" s="6" t="s">
        <v>117</v>
      </c>
      <c r="D62" s="332">
        <v>74.400000000000006</v>
      </c>
      <c r="E62" s="54"/>
      <c r="F62" s="87">
        <f t="shared" si="1"/>
        <v>0</v>
      </c>
    </row>
    <row r="63" spans="1:6" s="138" customFormat="1" ht="30" x14ac:dyDescent="0.25">
      <c r="A63" s="26" t="s">
        <v>118</v>
      </c>
      <c r="B63" s="5" t="s">
        <v>119</v>
      </c>
      <c r="C63" s="6" t="s">
        <v>43</v>
      </c>
      <c r="D63" s="332">
        <f>0.2*0.2*3.4*8</f>
        <v>1.0880000000000001</v>
      </c>
      <c r="E63" s="54"/>
      <c r="F63" s="87">
        <f t="shared" si="1"/>
        <v>0</v>
      </c>
    </row>
    <row r="64" spans="1:6" s="138" customFormat="1" ht="30" x14ac:dyDescent="0.25">
      <c r="A64" s="26" t="s">
        <v>120</v>
      </c>
      <c r="B64" s="5" t="s">
        <v>121</v>
      </c>
      <c r="C64" s="6" t="s">
        <v>43</v>
      </c>
      <c r="D64" s="334">
        <f>(7.3*2+12.6*3)*0.2*0.2</f>
        <v>2.0960000000000001</v>
      </c>
      <c r="E64" s="54"/>
      <c r="F64" s="87">
        <f t="shared" si="1"/>
        <v>0</v>
      </c>
    </row>
    <row r="65" spans="1:6" s="138" customFormat="1" ht="30" x14ac:dyDescent="0.25">
      <c r="A65" s="26" t="s">
        <v>122</v>
      </c>
      <c r="B65" s="5" t="s">
        <v>64</v>
      </c>
      <c r="C65" s="6" t="s">
        <v>50</v>
      </c>
      <c r="D65" s="334">
        <f>(7.3*2+12.6*2)*3.4-1.2*3.4*2</f>
        <v>127.16</v>
      </c>
      <c r="E65" s="54"/>
      <c r="F65" s="87">
        <f t="shared" si="1"/>
        <v>0</v>
      </c>
    </row>
    <row r="66" spans="1:6" s="138" customFormat="1" ht="30" x14ac:dyDescent="0.25">
      <c r="A66" s="26" t="s">
        <v>60</v>
      </c>
      <c r="B66" s="5" t="s">
        <v>123</v>
      </c>
      <c r="C66" s="6" t="s">
        <v>50</v>
      </c>
      <c r="D66" s="332">
        <f>12.6*3.4+(12.6*2+1.1*18+8)*2.1-0.8*2.1*20</f>
        <v>120.54000000000002</v>
      </c>
      <c r="E66" s="54"/>
      <c r="F66" s="87">
        <f t="shared" si="1"/>
        <v>0</v>
      </c>
    </row>
    <row r="67" spans="1:6" ht="15" x14ac:dyDescent="0.25">
      <c r="A67" s="26" t="s">
        <v>124</v>
      </c>
      <c r="B67" s="5" t="s">
        <v>66</v>
      </c>
      <c r="C67" s="6" t="s">
        <v>67</v>
      </c>
      <c r="D67" s="332">
        <v>10</v>
      </c>
      <c r="E67" s="54"/>
      <c r="F67" s="87">
        <f t="shared" si="1"/>
        <v>0</v>
      </c>
    </row>
    <row r="68" spans="1:6" s="138" customFormat="1" ht="15" x14ac:dyDescent="0.25">
      <c r="A68" s="26" t="s">
        <v>125</v>
      </c>
      <c r="B68" s="5" t="s">
        <v>69</v>
      </c>
      <c r="C68" s="6" t="s">
        <v>70</v>
      </c>
      <c r="D68" s="334">
        <f>95.87*1.5</f>
        <v>143.80500000000001</v>
      </c>
      <c r="E68" s="54"/>
      <c r="F68" s="87">
        <f t="shared" si="1"/>
        <v>0</v>
      </c>
    </row>
    <row r="69" spans="1:6" s="138" customFormat="1" ht="30" x14ac:dyDescent="0.25">
      <c r="A69" s="26" t="s">
        <v>63</v>
      </c>
      <c r="B69" s="5" t="s">
        <v>126</v>
      </c>
      <c r="C69" s="6" t="s">
        <v>50</v>
      </c>
      <c r="D69" s="332">
        <f>13.4*8*1.15</f>
        <v>123.27999999999999</v>
      </c>
      <c r="E69" s="54"/>
      <c r="F69" s="87">
        <f>D69*E69</f>
        <v>0</v>
      </c>
    </row>
    <row r="70" spans="1:6" s="138" customFormat="1" ht="15" x14ac:dyDescent="0.25">
      <c r="A70" s="26" t="s">
        <v>127</v>
      </c>
      <c r="B70" s="5" t="s">
        <v>74</v>
      </c>
      <c r="C70" s="6" t="s">
        <v>70</v>
      </c>
      <c r="D70" s="332">
        <v>13.4</v>
      </c>
      <c r="E70" s="54"/>
      <c r="F70" s="87">
        <f t="shared" si="1"/>
        <v>0</v>
      </c>
    </row>
    <row r="71" spans="1:6" ht="15" x14ac:dyDescent="0.25">
      <c r="A71" s="26" t="s">
        <v>65</v>
      </c>
      <c r="B71" s="5" t="s">
        <v>76</v>
      </c>
      <c r="C71" s="6" t="s">
        <v>70</v>
      </c>
      <c r="D71" s="332">
        <f>13.4+16</f>
        <v>29.4</v>
      </c>
      <c r="E71" s="54"/>
      <c r="F71" s="87">
        <f t="shared" si="1"/>
        <v>0</v>
      </c>
    </row>
    <row r="72" spans="1:6" s="138" customFormat="1" ht="45" x14ac:dyDescent="0.25">
      <c r="A72" s="26" t="s">
        <v>68</v>
      </c>
      <c r="B72" s="5" t="s">
        <v>78</v>
      </c>
      <c r="C72" s="6" t="s">
        <v>79</v>
      </c>
      <c r="D72" s="335">
        <v>1</v>
      </c>
      <c r="E72" s="54"/>
      <c r="F72" s="87">
        <f t="shared" si="1"/>
        <v>0</v>
      </c>
    </row>
    <row r="73" spans="1:6" s="138" customFormat="1" ht="45" x14ac:dyDescent="0.25">
      <c r="A73" s="26" t="s">
        <v>71</v>
      </c>
      <c r="B73" s="5" t="s">
        <v>81</v>
      </c>
      <c r="C73" s="6" t="s">
        <v>50</v>
      </c>
      <c r="D73" s="332">
        <f>D66*2+D65</f>
        <v>368.24</v>
      </c>
      <c r="E73" s="54"/>
      <c r="F73" s="87">
        <f t="shared" si="1"/>
        <v>0</v>
      </c>
    </row>
    <row r="74" spans="1:6" ht="30" x14ac:dyDescent="0.25">
      <c r="A74" s="26" t="s">
        <v>73</v>
      </c>
      <c r="B74" s="5" t="s">
        <v>83</v>
      </c>
      <c r="C74" s="6" t="s">
        <v>50</v>
      </c>
      <c r="D74" s="332">
        <f>D65</f>
        <v>127.16</v>
      </c>
      <c r="E74" s="54"/>
      <c r="F74" s="87">
        <f t="shared" si="1"/>
        <v>0</v>
      </c>
    </row>
    <row r="75" spans="1:6" s="138" customFormat="1" ht="30" x14ac:dyDescent="0.25">
      <c r="A75" s="26" t="s">
        <v>75</v>
      </c>
      <c r="B75" s="5" t="s">
        <v>85</v>
      </c>
      <c r="C75" s="6" t="s">
        <v>26</v>
      </c>
      <c r="D75" s="332">
        <v>1</v>
      </c>
      <c r="E75" s="54"/>
      <c r="F75" s="87">
        <f t="shared" si="1"/>
        <v>0</v>
      </c>
    </row>
    <row r="76" spans="1:6" ht="15" x14ac:dyDescent="0.25">
      <c r="A76" s="26" t="s">
        <v>77</v>
      </c>
      <c r="B76" s="5" t="s">
        <v>90</v>
      </c>
      <c r="C76" s="6" t="s">
        <v>70</v>
      </c>
      <c r="D76" s="332">
        <f>(7.3*2+12.6*2)*2</f>
        <v>79.599999999999994</v>
      </c>
      <c r="E76" s="54"/>
      <c r="F76" s="87">
        <f t="shared" si="1"/>
        <v>0</v>
      </c>
    </row>
    <row r="77" spans="1:6" ht="30" x14ac:dyDescent="0.25">
      <c r="A77" s="26" t="s">
        <v>128</v>
      </c>
      <c r="B77" s="5" t="s">
        <v>92</v>
      </c>
      <c r="C77" s="6" t="s">
        <v>43</v>
      </c>
      <c r="D77" s="332">
        <f>8*13.4*0.05</f>
        <v>5.36</v>
      </c>
      <c r="E77" s="54"/>
      <c r="F77" s="87">
        <f t="shared" si="1"/>
        <v>0</v>
      </c>
    </row>
    <row r="78" spans="1:6" ht="15" x14ac:dyDescent="0.25">
      <c r="A78" s="26" t="s">
        <v>80</v>
      </c>
      <c r="B78" s="5" t="s">
        <v>94</v>
      </c>
      <c r="C78" s="6" t="s">
        <v>50</v>
      </c>
      <c r="D78" s="332">
        <f>12.6*7.3</f>
        <v>91.97999999999999</v>
      </c>
      <c r="E78" s="54"/>
      <c r="F78" s="87">
        <f t="shared" si="1"/>
        <v>0</v>
      </c>
    </row>
    <row r="79" spans="1:6" ht="15" x14ac:dyDescent="0.25">
      <c r="A79" s="26" t="s">
        <v>82</v>
      </c>
      <c r="B79" s="5" t="s">
        <v>96</v>
      </c>
      <c r="C79" s="6" t="s">
        <v>50</v>
      </c>
      <c r="D79" s="332">
        <f>8*13.4-D78</f>
        <v>15.220000000000013</v>
      </c>
      <c r="E79" s="54"/>
      <c r="F79" s="87">
        <f t="shared" si="1"/>
        <v>0</v>
      </c>
    </row>
    <row r="80" spans="1:6" s="138" customFormat="1" ht="45" x14ac:dyDescent="0.25">
      <c r="A80" s="26" t="s">
        <v>84</v>
      </c>
      <c r="B80" s="5" t="s">
        <v>129</v>
      </c>
      <c r="C80" s="6" t="s">
        <v>88</v>
      </c>
      <c r="D80" s="332">
        <v>20</v>
      </c>
      <c r="E80" s="54"/>
      <c r="F80" s="87">
        <f t="shared" si="1"/>
        <v>0</v>
      </c>
    </row>
    <row r="81" spans="1:27" s="140" customFormat="1" ht="30" x14ac:dyDescent="0.25">
      <c r="A81" s="26" t="s">
        <v>130</v>
      </c>
      <c r="B81" s="5" t="s">
        <v>131</v>
      </c>
      <c r="C81" s="6" t="s">
        <v>88</v>
      </c>
      <c r="D81" s="332">
        <v>22</v>
      </c>
      <c r="E81" s="54"/>
      <c r="F81" s="87">
        <f t="shared" si="1"/>
        <v>0</v>
      </c>
    </row>
    <row r="82" spans="1:27" s="140" customFormat="1" ht="15" x14ac:dyDescent="0.25">
      <c r="A82" s="26" t="s">
        <v>86</v>
      </c>
      <c r="B82" s="5" t="s">
        <v>132</v>
      </c>
      <c r="C82" s="6" t="s">
        <v>88</v>
      </c>
      <c r="D82" s="332">
        <v>3</v>
      </c>
      <c r="E82" s="54"/>
      <c r="F82" s="87">
        <f t="shared" si="1"/>
        <v>0</v>
      </c>
    </row>
    <row r="83" spans="1:27" s="142" customFormat="1" ht="15" x14ac:dyDescent="0.25">
      <c r="A83" s="26" t="s">
        <v>89</v>
      </c>
      <c r="B83" s="5" t="s">
        <v>106</v>
      </c>
      <c r="C83" s="6" t="s">
        <v>26</v>
      </c>
      <c r="D83" s="332">
        <v>1</v>
      </c>
      <c r="E83" s="54"/>
      <c r="F83" s="88">
        <f t="shared" si="1"/>
        <v>0</v>
      </c>
    </row>
    <row r="84" spans="1:27" ht="30" x14ac:dyDescent="0.25">
      <c r="A84" s="26" t="s">
        <v>91</v>
      </c>
      <c r="B84" s="5" t="s">
        <v>108</v>
      </c>
      <c r="C84" s="6" t="s">
        <v>50</v>
      </c>
      <c r="D84" s="332">
        <f>D73</f>
        <v>368.24</v>
      </c>
      <c r="E84" s="54"/>
      <c r="F84" s="88">
        <f t="shared" si="1"/>
        <v>0</v>
      </c>
    </row>
    <row r="85" spans="1:27" s="138" customFormat="1" ht="60" x14ac:dyDescent="0.25">
      <c r="A85" s="26" t="s">
        <v>93</v>
      </c>
      <c r="B85" s="5" t="s">
        <v>133</v>
      </c>
      <c r="C85" s="6" t="s">
        <v>55</v>
      </c>
      <c r="D85" s="332">
        <v>20</v>
      </c>
      <c r="E85" s="54"/>
      <c r="F85" s="54">
        <f t="shared" si="1"/>
        <v>0</v>
      </c>
    </row>
    <row r="86" spans="1:27" s="138" customFormat="1" ht="30" x14ac:dyDescent="0.25">
      <c r="A86" s="26" t="s">
        <v>95</v>
      </c>
      <c r="B86" s="5" t="s">
        <v>134</v>
      </c>
      <c r="C86" s="6" t="s">
        <v>43</v>
      </c>
      <c r="D86" s="332">
        <f>1.1*4*0.6*0.1*2</f>
        <v>0.52800000000000002</v>
      </c>
      <c r="E86" s="54"/>
      <c r="F86" s="54">
        <f t="shared" si="1"/>
        <v>0</v>
      </c>
    </row>
    <row r="87" spans="1:27" ht="30" x14ac:dyDescent="0.25">
      <c r="A87" s="26" t="s">
        <v>135</v>
      </c>
      <c r="B87" s="5" t="s">
        <v>136</v>
      </c>
      <c r="C87" s="6" t="s">
        <v>70</v>
      </c>
      <c r="D87" s="332">
        <v>40</v>
      </c>
      <c r="E87" s="54"/>
      <c r="F87" s="54">
        <f t="shared" si="1"/>
        <v>0</v>
      </c>
    </row>
    <row r="88" spans="1:27" ht="75" x14ac:dyDescent="0.25">
      <c r="A88" s="26" t="s">
        <v>97</v>
      </c>
      <c r="B88" s="5" t="s">
        <v>137</v>
      </c>
      <c r="C88" s="6" t="s">
        <v>70</v>
      </c>
      <c r="D88" s="332">
        <v>30</v>
      </c>
      <c r="E88" s="54"/>
      <c r="F88" s="54">
        <f t="shared" si="1"/>
        <v>0</v>
      </c>
    </row>
    <row r="89" spans="1:27" s="140" customFormat="1" ht="30" x14ac:dyDescent="0.25">
      <c r="A89" s="26" t="s">
        <v>99</v>
      </c>
      <c r="B89" s="5" t="s">
        <v>138</v>
      </c>
      <c r="C89" s="6" t="s">
        <v>55</v>
      </c>
      <c r="D89" s="332">
        <v>6</v>
      </c>
      <c r="E89" s="54"/>
      <c r="F89" s="54">
        <f t="shared" si="1"/>
        <v>0</v>
      </c>
    </row>
    <row r="90" spans="1:27" s="5" customFormat="1" ht="30" x14ac:dyDescent="0.25">
      <c r="A90" s="26" t="s">
        <v>101</v>
      </c>
      <c r="B90" s="5" t="s">
        <v>112</v>
      </c>
      <c r="C90" s="26" t="s">
        <v>43</v>
      </c>
      <c r="D90" s="336">
        <f>4*2.9*0.1</f>
        <v>1.1599999999999999</v>
      </c>
      <c r="E90" s="54"/>
      <c r="F90" s="54">
        <f t="shared" si="1"/>
        <v>0</v>
      </c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</row>
    <row r="91" spans="1:27" s="5" customFormat="1" ht="15" x14ac:dyDescent="0.25">
      <c r="A91" s="26" t="s">
        <v>103</v>
      </c>
      <c r="B91" s="5" t="s">
        <v>139</v>
      </c>
      <c r="C91" s="26" t="s">
        <v>43</v>
      </c>
      <c r="D91" s="336">
        <v>10.8</v>
      </c>
      <c r="E91" s="54"/>
      <c r="F91" s="54">
        <f t="shared" si="1"/>
        <v>0</v>
      </c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</row>
    <row r="92" spans="1:27" ht="15" x14ac:dyDescent="0.25">
      <c r="A92" s="58"/>
      <c r="B92" s="59" t="s">
        <v>113</v>
      </c>
      <c r="C92" s="76"/>
      <c r="D92" s="337"/>
      <c r="E92" s="77"/>
      <c r="F92" s="78">
        <f>SUM(F47:F91)</f>
        <v>0</v>
      </c>
    </row>
    <row r="93" spans="1:27" s="138" customFormat="1" ht="18.75" x14ac:dyDescent="0.25">
      <c r="A93" s="64"/>
      <c r="B93" s="37" t="s">
        <v>140</v>
      </c>
      <c r="C93" s="66"/>
      <c r="D93" s="338"/>
      <c r="E93" s="66"/>
      <c r="F93" s="89"/>
    </row>
    <row r="94" spans="1:27" s="138" customFormat="1" ht="15" x14ac:dyDescent="0.25">
      <c r="A94" s="147">
        <v>46</v>
      </c>
      <c r="B94" s="148" t="s">
        <v>141</v>
      </c>
      <c r="C94" s="149" t="s">
        <v>50</v>
      </c>
      <c r="D94" s="280">
        <v>4.1500000000000004</v>
      </c>
      <c r="E94" s="149"/>
      <c r="F94" s="54">
        <f t="shared" ref="F94:F108" si="2">D94*E94</f>
        <v>0</v>
      </c>
    </row>
    <row r="95" spans="1:27" s="138" customFormat="1" ht="30" x14ac:dyDescent="0.25">
      <c r="A95" s="147">
        <v>46</v>
      </c>
      <c r="B95" s="150" t="s">
        <v>142</v>
      </c>
      <c r="C95" s="151" t="s">
        <v>43</v>
      </c>
      <c r="D95" s="281">
        <v>3.01</v>
      </c>
      <c r="E95" s="152"/>
      <c r="F95" s="54">
        <f t="shared" si="2"/>
        <v>0</v>
      </c>
    </row>
    <row r="96" spans="1:27" ht="30" x14ac:dyDescent="0.25">
      <c r="A96" s="147">
        <v>46</v>
      </c>
      <c r="B96" s="150" t="s">
        <v>143</v>
      </c>
      <c r="C96" s="151" t="s">
        <v>50</v>
      </c>
      <c r="D96" s="281">
        <v>2.54</v>
      </c>
      <c r="E96" s="151"/>
      <c r="F96" s="54">
        <f t="shared" si="2"/>
        <v>0</v>
      </c>
    </row>
    <row r="97" spans="1:6" ht="30" x14ac:dyDescent="0.25">
      <c r="A97" s="147">
        <v>46</v>
      </c>
      <c r="B97" s="150" t="s">
        <v>144</v>
      </c>
      <c r="C97" s="151" t="s">
        <v>145</v>
      </c>
      <c r="D97" s="281">
        <v>1</v>
      </c>
      <c r="E97" s="152"/>
      <c r="F97" s="54">
        <f t="shared" si="2"/>
        <v>0</v>
      </c>
    </row>
    <row r="98" spans="1:6" ht="45" x14ac:dyDescent="0.25">
      <c r="A98" s="147">
        <v>46</v>
      </c>
      <c r="B98" s="150" t="s">
        <v>146</v>
      </c>
      <c r="C98" s="151" t="s">
        <v>43</v>
      </c>
      <c r="D98" s="281">
        <v>0.2</v>
      </c>
      <c r="E98" s="152"/>
      <c r="F98" s="54">
        <f t="shared" si="2"/>
        <v>0</v>
      </c>
    </row>
    <row r="99" spans="1:6" ht="30" x14ac:dyDescent="0.25">
      <c r="A99" s="147">
        <v>46</v>
      </c>
      <c r="B99" s="150" t="s">
        <v>147</v>
      </c>
      <c r="C99" s="151" t="s">
        <v>50</v>
      </c>
      <c r="D99" s="281">
        <v>2</v>
      </c>
      <c r="E99" s="151"/>
      <c r="F99" s="54">
        <f t="shared" si="2"/>
        <v>0</v>
      </c>
    </row>
    <row r="100" spans="1:6" s="138" customFormat="1" ht="30" x14ac:dyDescent="0.25">
      <c r="A100" s="147">
        <v>46</v>
      </c>
      <c r="B100" s="150" t="s">
        <v>148</v>
      </c>
      <c r="C100" s="151" t="s">
        <v>50</v>
      </c>
      <c r="D100" s="281">
        <v>5.0199999999999996</v>
      </c>
      <c r="E100" s="151"/>
      <c r="F100" s="54">
        <f t="shared" si="2"/>
        <v>0</v>
      </c>
    </row>
    <row r="101" spans="1:6" s="138" customFormat="1" ht="30" x14ac:dyDescent="0.25">
      <c r="A101" s="147">
        <v>46</v>
      </c>
      <c r="B101" s="150" t="s">
        <v>149</v>
      </c>
      <c r="C101" s="151" t="s">
        <v>70</v>
      </c>
      <c r="D101" s="281">
        <v>6</v>
      </c>
      <c r="E101" s="151"/>
      <c r="F101" s="54">
        <f t="shared" si="2"/>
        <v>0</v>
      </c>
    </row>
    <row r="102" spans="1:6" s="138" customFormat="1" ht="30" x14ac:dyDescent="0.25">
      <c r="A102" s="147">
        <v>46</v>
      </c>
      <c r="B102" s="150" t="s">
        <v>150</v>
      </c>
      <c r="C102" s="151" t="s">
        <v>88</v>
      </c>
      <c r="D102" s="281">
        <v>1</v>
      </c>
      <c r="E102" s="151"/>
      <c r="F102" s="54">
        <f t="shared" si="2"/>
        <v>0</v>
      </c>
    </row>
    <row r="103" spans="1:6" s="138" customFormat="1" ht="30" x14ac:dyDescent="0.25">
      <c r="A103" s="147">
        <v>46</v>
      </c>
      <c r="B103" s="150" t="s">
        <v>151</v>
      </c>
      <c r="C103" s="151" t="s">
        <v>88</v>
      </c>
      <c r="D103" s="281">
        <v>1</v>
      </c>
      <c r="E103" s="151"/>
      <c r="F103" s="54">
        <f t="shared" si="2"/>
        <v>0</v>
      </c>
    </row>
    <row r="104" spans="1:6" s="138" customFormat="1" ht="15" x14ac:dyDescent="0.25">
      <c r="A104" s="147">
        <v>46</v>
      </c>
      <c r="B104" s="150" t="s">
        <v>152</v>
      </c>
      <c r="C104" s="151" t="s">
        <v>43</v>
      </c>
      <c r="D104" s="281">
        <v>3.93</v>
      </c>
      <c r="E104" s="151"/>
      <c r="F104" s="54">
        <f t="shared" si="2"/>
        <v>0</v>
      </c>
    </row>
    <row r="105" spans="1:6" ht="15" x14ac:dyDescent="0.25">
      <c r="A105" s="147">
        <v>46</v>
      </c>
      <c r="B105" s="150" t="s">
        <v>153</v>
      </c>
      <c r="C105" s="151" t="s">
        <v>43</v>
      </c>
      <c r="D105" s="281">
        <v>3.93</v>
      </c>
      <c r="E105" s="151"/>
      <c r="F105" s="54">
        <f t="shared" si="2"/>
        <v>0</v>
      </c>
    </row>
    <row r="106" spans="1:6" s="138" customFormat="1" ht="45" x14ac:dyDescent="0.25">
      <c r="A106" s="147">
        <v>46</v>
      </c>
      <c r="B106" s="150" t="s">
        <v>154</v>
      </c>
      <c r="C106" s="151" t="s">
        <v>43</v>
      </c>
      <c r="D106" s="281">
        <v>1.22</v>
      </c>
      <c r="E106" s="152"/>
      <c r="F106" s="54">
        <f t="shared" si="2"/>
        <v>0</v>
      </c>
    </row>
    <row r="107" spans="1:6" s="138" customFormat="1" ht="30" x14ac:dyDescent="0.25">
      <c r="A107" s="147">
        <v>46</v>
      </c>
      <c r="B107" s="150" t="s">
        <v>143</v>
      </c>
      <c r="C107" s="151" t="s">
        <v>50</v>
      </c>
      <c r="D107" s="281">
        <v>1.22</v>
      </c>
      <c r="E107" s="151"/>
      <c r="F107" s="54">
        <f t="shared" si="2"/>
        <v>0</v>
      </c>
    </row>
    <row r="108" spans="1:6" ht="60" x14ac:dyDescent="0.25">
      <c r="A108" s="147">
        <v>46</v>
      </c>
      <c r="B108" s="153" t="s">
        <v>155</v>
      </c>
      <c r="C108" s="154" t="s">
        <v>50</v>
      </c>
      <c r="D108" s="282">
        <v>130</v>
      </c>
      <c r="E108" s="154"/>
      <c r="F108" s="54">
        <f t="shared" si="2"/>
        <v>0</v>
      </c>
    </row>
    <row r="109" spans="1:6" ht="15" x14ac:dyDescent="0.25">
      <c r="A109" s="79"/>
      <c r="B109" s="80" t="s">
        <v>156</v>
      </c>
      <c r="C109" s="81"/>
      <c r="D109" s="339"/>
      <c r="E109" s="82"/>
      <c r="F109" s="83">
        <f>SUM(F94:F108)</f>
        <v>0</v>
      </c>
    </row>
    <row r="110" spans="1:6" ht="58.5" x14ac:dyDescent="0.25">
      <c r="A110" s="155"/>
      <c r="B110" s="143" t="s">
        <v>157</v>
      </c>
      <c r="C110" s="144"/>
      <c r="D110" s="340"/>
      <c r="E110" s="144"/>
      <c r="F110" s="84">
        <f>SUM(F109+F92)</f>
        <v>0</v>
      </c>
    </row>
    <row r="111" spans="1:6" s="133" customFormat="1" ht="21" customHeight="1" x14ac:dyDescent="0.35">
      <c r="A111" s="347" t="s">
        <v>158</v>
      </c>
      <c r="B111" s="348"/>
      <c r="C111" s="145"/>
      <c r="D111" s="331"/>
      <c r="E111" s="145"/>
      <c r="F111" s="146"/>
    </row>
    <row r="112" spans="1:6" s="138" customFormat="1" ht="15" x14ac:dyDescent="0.25">
      <c r="A112" s="134" t="s">
        <v>18</v>
      </c>
      <c r="B112" s="135" t="s">
        <v>19</v>
      </c>
      <c r="C112" s="136" t="s">
        <v>20</v>
      </c>
      <c r="D112" s="330" t="s">
        <v>21</v>
      </c>
      <c r="E112" s="134" t="s">
        <v>22</v>
      </c>
      <c r="F112" s="137" t="s">
        <v>23</v>
      </c>
    </row>
    <row r="113" spans="1:6" ht="15" x14ac:dyDescent="0.25">
      <c r="A113" s="4" t="s">
        <v>24</v>
      </c>
      <c r="B113" s="28" t="s">
        <v>25</v>
      </c>
      <c r="C113" s="31" t="s">
        <v>26</v>
      </c>
      <c r="D113" s="274">
        <v>1</v>
      </c>
      <c r="E113" s="96"/>
      <c r="F113" s="90">
        <f t="shared" ref="F113:F158" si="3">D113*E113</f>
        <v>0</v>
      </c>
    </row>
    <row r="114" spans="1:6" s="138" customFormat="1" ht="18" x14ac:dyDescent="0.25">
      <c r="A114" s="4" t="s">
        <v>27</v>
      </c>
      <c r="B114" s="28" t="s">
        <v>28</v>
      </c>
      <c r="C114" s="31" t="s">
        <v>159</v>
      </c>
      <c r="D114" s="274">
        <f>14.4*9</f>
        <v>129.6</v>
      </c>
      <c r="E114" s="97"/>
      <c r="F114" s="90">
        <f t="shared" si="3"/>
        <v>0</v>
      </c>
    </row>
    <row r="115" spans="1:6" s="138" customFormat="1" ht="18" x14ac:dyDescent="0.25">
      <c r="A115" s="4" t="s">
        <v>30</v>
      </c>
      <c r="B115" s="28" t="s">
        <v>31</v>
      </c>
      <c r="C115" s="31" t="s">
        <v>160</v>
      </c>
      <c r="D115" s="274">
        <f>D114*0.5</f>
        <v>64.8</v>
      </c>
      <c r="E115" s="96"/>
      <c r="F115" s="90">
        <f t="shared" si="3"/>
        <v>0</v>
      </c>
    </row>
    <row r="116" spans="1:6" s="138" customFormat="1" ht="45" x14ac:dyDescent="0.25">
      <c r="A116" s="4" t="s">
        <v>33</v>
      </c>
      <c r="B116" s="28" t="s">
        <v>34</v>
      </c>
      <c r="C116" s="31" t="s">
        <v>160</v>
      </c>
      <c r="D116" s="274">
        <f>17.5*5.9*3</f>
        <v>309.75</v>
      </c>
      <c r="E116" s="97"/>
      <c r="F116" s="90">
        <f t="shared" si="3"/>
        <v>0</v>
      </c>
    </row>
    <row r="117" spans="1:6" ht="18" x14ac:dyDescent="0.25">
      <c r="A117" s="4" t="s">
        <v>35</v>
      </c>
      <c r="B117" s="2" t="s">
        <v>36</v>
      </c>
      <c r="C117" s="31" t="s">
        <v>160</v>
      </c>
      <c r="D117" s="275">
        <f>(14.5+2.9)*2*1.5*3</f>
        <v>156.6</v>
      </c>
      <c r="E117" s="98"/>
      <c r="F117" s="90">
        <f t="shared" si="3"/>
        <v>0</v>
      </c>
    </row>
    <row r="118" spans="1:6" s="138" customFormat="1" ht="18" x14ac:dyDescent="0.25">
      <c r="A118" s="4" t="s">
        <v>37</v>
      </c>
      <c r="B118" s="2" t="s">
        <v>38</v>
      </c>
      <c r="C118" s="31" t="s">
        <v>160</v>
      </c>
      <c r="D118" s="274">
        <f>D115+D116-D117</f>
        <v>217.95000000000002</v>
      </c>
      <c r="E118" s="98"/>
      <c r="F118" s="90">
        <f t="shared" si="3"/>
        <v>0</v>
      </c>
    </row>
    <row r="119" spans="1:6" s="138" customFormat="1" ht="45" x14ac:dyDescent="0.25">
      <c r="A119" s="4" t="s">
        <v>39</v>
      </c>
      <c r="B119" s="2" t="s">
        <v>40</v>
      </c>
      <c r="C119" s="31" t="s">
        <v>160</v>
      </c>
      <c r="D119" s="274">
        <f>(14.1+2.5)*0.4*0.05</f>
        <v>0.33200000000000007</v>
      </c>
      <c r="E119" s="98"/>
      <c r="F119" s="90">
        <f t="shared" si="3"/>
        <v>0</v>
      </c>
    </row>
    <row r="120" spans="1:6" s="138" customFormat="1" ht="45" x14ac:dyDescent="0.25">
      <c r="A120" s="4" t="s">
        <v>41</v>
      </c>
      <c r="B120" s="2" t="s">
        <v>42</v>
      </c>
      <c r="C120" s="3" t="s">
        <v>43</v>
      </c>
      <c r="D120" s="274">
        <f>(14.1+2.5)*0.4*3.6</f>
        <v>23.904000000000003</v>
      </c>
      <c r="E120" s="98"/>
      <c r="F120" s="90">
        <f t="shared" si="3"/>
        <v>0</v>
      </c>
    </row>
    <row r="121" spans="1:6" s="138" customFormat="1" ht="15" x14ac:dyDescent="0.25">
      <c r="A121" s="4" t="s">
        <v>44</v>
      </c>
      <c r="B121" s="2" t="s">
        <v>45</v>
      </c>
      <c r="C121" s="3" t="s">
        <v>43</v>
      </c>
      <c r="D121" s="274">
        <f>(14.1+2.5)*0.4*0.05</f>
        <v>0.33200000000000007</v>
      </c>
      <c r="E121" s="98"/>
      <c r="F121" s="90">
        <f t="shared" si="3"/>
        <v>0</v>
      </c>
    </row>
    <row r="122" spans="1:6" ht="15" x14ac:dyDescent="0.25">
      <c r="A122" s="4" t="s">
        <v>46</v>
      </c>
      <c r="B122" s="2" t="s">
        <v>47</v>
      </c>
      <c r="C122" s="3" t="s">
        <v>43</v>
      </c>
      <c r="D122" s="274">
        <f>(14.1+2.5)*0.25*0.2*3</f>
        <v>2.4900000000000002</v>
      </c>
      <c r="E122" s="98"/>
      <c r="F122" s="90">
        <f t="shared" si="3"/>
        <v>0</v>
      </c>
    </row>
    <row r="123" spans="1:6" s="138" customFormat="1" ht="30" x14ac:dyDescent="0.25">
      <c r="A123" s="4" t="s">
        <v>48</v>
      </c>
      <c r="B123" s="2" t="s">
        <v>49</v>
      </c>
      <c r="C123" s="3" t="s">
        <v>50</v>
      </c>
      <c r="D123" s="274">
        <f>(13.7+2.1)*2*3</f>
        <v>94.8</v>
      </c>
      <c r="E123" s="98"/>
      <c r="F123" s="90">
        <f t="shared" si="3"/>
        <v>0</v>
      </c>
    </row>
    <row r="124" spans="1:6" ht="30" x14ac:dyDescent="0.25">
      <c r="A124" s="4" t="s">
        <v>51</v>
      </c>
      <c r="B124" s="2" t="s">
        <v>52</v>
      </c>
      <c r="C124" s="3" t="s">
        <v>43</v>
      </c>
      <c r="D124" s="274">
        <f>13.7*2.1*0.3</f>
        <v>8.6310000000000002</v>
      </c>
      <c r="E124" s="98"/>
      <c r="F124" s="90">
        <f t="shared" si="3"/>
        <v>0</v>
      </c>
    </row>
    <row r="125" spans="1:6" s="138" customFormat="1" ht="45" x14ac:dyDescent="0.25">
      <c r="A125" s="4" t="s">
        <v>53</v>
      </c>
      <c r="B125" s="2" t="s">
        <v>54</v>
      </c>
      <c r="C125" s="3" t="s">
        <v>55</v>
      </c>
      <c r="D125" s="274">
        <v>1</v>
      </c>
      <c r="E125" s="98"/>
      <c r="F125" s="90">
        <f t="shared" si="3"/>
        <v>0</v>
      </c>
    </row>
    <row r="126" spans="1:6" s="138" customFormat="1" ht="30" x14ac:dyDescent="0.25">
      <c r="A126" s="4" t="s">
        <v>56</v>
      </c>
      <c r="B126" s="2" t="s">
        <v>57</v>
      </c>
      <c r="C126" s="3" t="s">
        <v>43</v>
      </c>
      <c r="D126" s="274">
        <f>13.4*8*0.15</f>
        <v>16.079999999999998</v>
      </c>
      <c r="E126" s="98"/>
      <c r="F126" s="90">
        <f t="shared" si="3"/>
        <v>0</v>
      </c>
    </row>
    <row r="127" spans="1:6" s="138" customFormat="1" ht="30" x14ac:dyDescent="0.25">
      <c r="A127" s="4" t="s">
        <v>58</v>
      </c>
      <c r="B127" s="2" t="s">
        <v>59</v>
      </c>
      <c r="C127" s="3" t="s">
        <v>50</v>
      </c>
      <c r="D127" s="274">
        <f>0.7*1.5*0.15*2</f>
        <v>0.31499999999999995</v>
      </c>
      <c r="E127" s="98"/>
      <c r="F127" s="90">
        <f t="shared" si="3"/>
        <v>0</v>
      </c>
    </row>
    <row r="128" spans="1:6" ht="15" x14ac:dyDescent="0.25">
      <c r="A128" s="4" t="s">
        <v>60</v>
      </c>
      <c r="B128" s="2" t="s">
        <v>61</v>
      </c>
      <c r="C128" s="3" t="s">
        <v>62</v>
      </c>
      <c r="D128" s="274">
        <v>74.400000000000006</v>
      </c>
      <c r="E128" s="98"/>
      <c r="F128" s="90">
        <f t="shared" si="3"/>
        <v>0</v>
      </c>
    </row>
    <row r="129" spans="1:6" s="138" customFormat="1" ht="30" x14ac:dyDescent="0.25">
      <c r="A129" s="4" t="s">
        <v>124</v>
      </c>
      <c r="B129" s="2" t="s">
        <v>119</v>
      </c>
      <c r="C129" s="3" t="s">
        <v>43</v>
      </c>
      <c r="D129" s="274">
        <f>0.2*0.2*3.4*8</f>
        <v>1.0880000000000001</v>
      </c>
      <c r="E129" s="98"/>
      <c r="F129" s="90">
        <f t="shared" si="3"/>
        <v>0</v>
      </c>
    </row>
    <row r="130" spans="1:6" s="138" customFormat="1" ht="30" x14ac:dyDescent="0.25">
      <c r="A130" s="4" t="s">
        <v>125</v>
      </c>
      <c r="B130" s="2" t="s">
        <v>121</v>
      </c>
      <c r="C130" s="3" t="s">
        <v>43</v>
      </c>
      <c r="D130" s="276">
        <f>(7.3*2+12.6*3)*0.2*0.2</f>
        <v>2.0960000000000001</v>
      </c>
      <c r="E130" s="98"/>
      <c r="F130" s="90">
        <f t="shared" si="3"/>
        <v>0</v>
      </c>
    </row>
    <row r="131" spans="1:6" s="138" customFormat="1" ht="30" x14ac:dyDescent="0.25">
      <c r="A131" s="4" t="s">
        <v>63</v>
      </c>
      <c r="B131" s="2" t="s">
        <v>64</v>
      </c>
      <c r="C131" s="3" t="s">
        <v>50</v>
      </c>
      <c r="D131" s="276">
        <f>(7.3*2+12.6*2)*3.4-1.2*3.4*2</f>
        <v>127.16</v>
      </c>
      <c r="E131" s="98"/>
      <c r="F131" s="90">
        <f t="shared" si="3"/>
        <v>0</v>
      </c>
    </row>
    <row r="132" spans="1:6" s="138" customFormat="1" ht="30" x14ac:dyDescent="0.25">
      <c r="A132" s="4" t="s">
        <v>127</v>
      </c>
      <c r="B132" s="2" t="s">
        <v>123</v>
      </c>
      <c r="C132" s="3" t="s">
        <v>50</v>
      </c>
      <c r="D132" s="274">
        <f>12.6*3.4+(12.6*2+1.1*18+8)*2.1-0.8*2.1*20</f>
        <v>120.54000000000002</v>
      </c>
      <c r="E132" s="98"/>
      <c r="F132" s="90">
        <f t="shared" si="3"/>
        <v>0</v>
      </c>
    </row>
    <row r="133" spans="1:6" ht="15" x14ac:dyDescent="0.25">
      <c r="A133" s="4" t="s">
        <v>65</v>
      </c>
      <c r="B133" s="2" t="s">
        <v>66</v>
      </c>
      <c r="C133" s="3" t="s">
        <v>67</v>
      </c>
      <c r="D133" s="274">
        <v>10</v>
      </c>
      <c r="E133" s="98"/>
      <c r="F133" s="90">
        <f t="shared" si="3"/>
        <v>0</v>
      </c>
    </row>
    <row r="134" spans="1:6" s="138" customFormat="1" ht="15" x14ac:dyDescent="0.25">
      <c r="A134" s="4" t="s">
        <v>68</v>
      </c>
      <c r="B134" s="2" t="s">
        <v>69</v>
      </c>
      <c r="C134" s="3" t="s">
        <v>70</v>
      </c>
      <c r="D134" s="276">
        <f>95.87*1.5</f>
        <v>143.80500000000001</v>
      </c>
      <c r="E134" s="98"/>
      <c r="F134" s="90">
        <f t="shared" si="3"/>
        <v>0</v>
      </c>
    </row>
    <row r="135" spans="1:6" s="138" customFormat="1" ht="30" x14ac:dyDescent="0.25">
      <c r="A135" s="4" t="s">
        <v>71</v>
      </c>
      <c r="B135" s="2" t="s">
        <v>126</v>
      </c>
      <c r="C135" s="3" t="s">
        <v>50</v>
      </c>
      <c r="D135" s="274">
        <f>13.4*8*1.15</f>
        <v>123.27999999999999</v>
      </c>
      <c r="E135" s="98"/>
      <c r="F135" s="90">
        <f t="shared" si="3"/>
        <v>0</v>
      </c>
    </row>
    <row r="136" spans="1:6" s="138" customFormat="1" ht="15" x14ac:dyDescent="0.25">
      <c r="A136" s="4" t="s">
        <v>73</v>
      </c>
      <c r="B136" s="2" t="s">
        <v>74</v>
      </c>
      <c r="C136" s="3" t="s">
        <v>70</v>
      </c>
      <c r="D136" s="274">
        <v>13.4</v>
      </c>
      <c r="E136" s="98"/>
      <c r="F136" s="90">
        <f t="shared" si="3"/>
        <v>0</v>
      </c>
    </row>
    <row r="137" spans="1:6" ht="15" x14ac:dyDescent="0.25">
      <c r="A137" s="4" t="s">
        <v>75</v>
      </c>
      <c r="B137" s="2" t="s">
        <v>76</v>
      </c>
      <c r="C137" s="3" t="s">
        <v>70</v>
      </c>
      <c r="D137" s="274">
        <f>13.4+16</f>
        <v>29.4</v>
      </c>
      <c r="E137" s="98"/>
      <c r="F137" s="90">
        <f t="shared" si="3"/>
        <v>0</v>
      </c>
    </row>
    <row r="138" spans="1:6" s="138" customFormat="1" ht="45" x14ac:dyDescent="0.25">
      <c r="A138" s="4" t="s">
        <v>77</v>
      </c>
      <c r="B138" s="2" t="s">
        <v>78</v>
      </c>
      <c r="C138" s="3" t="s">
        <v>79</v>
      </c>
      <c r="D138" s="1">
        <v>1</v>
      </c>
      <c r="E138" s="98"/>
      <c r="F138" s="90">
        <f t="shared" si="3"/>
        <v>0</v>
      </c>
    </row>
    <row r="139" spans="1:6" s="138" customFormat="1" ht="45" x14ac:dyDescent="0.25">
      <c r="A139" s="4" t="s">
        <v>80</v>
      </c>
      <c r="B139" s="2" t="s">
        <v>81</v>
      </c>
      <c r="C139" s="3" t="s">
        <v>50</v>
      </c>
      <c r="D139" s="274">
        <f>D132*2+D131</f>
        <v>368.24</v>
      </c>
      <c r="E139" s="98"/>
      <c r="F139" s="90">
        <f t="shared" si="3"/>
        <v>0</v>
      </c>
    </row>
    <row r="140" spans="1:6" ht="30" x14ac:dyDescent="0.25">
      <c r="A140" s="4" t="s">
        <v>82</v>
      </c>
      <c r="B140" s="2" t="s">
        <v>83</v>
      </c>
      <c r="C140" s="3" t="s">
        <v>50</v>
      </c>
      <c r="D140" s="274">
        <f>D131</f>
        <v>127.16</v>
      </c>
      <c r="E140" s="98"/>
      <c r="F140" s="90">
        <f t="shared" si="3"/>
        <v>0</v>
      </c>
    </row>
    <row r="141" spans="1:6" s="138" customFormat="1" ht="30" x14ac:dyDescent="0.25">
      <c r="A141" s="4" t="s">
        <v>84</v>
      </c>
      <c r="B141" s="2" t="s">
        <v>85</v>
      </c>
      <c r="C141" s="3" t="s">
        <v>26</v>
      </c>
      <c r="D141" s="274">
        <v>1</v>
      </c>
      <c r="E141" s="98"/>
      <c r="F141" s="90">
        <f t="shared" si="3"/>
        <v>0</v>
      </c>
    </row>
    <row r="142" spans="1:6" ht="15" x14ac:dyDescent="0.25">
      <c r="A142" s="4" t="s">
        <v>86</v>
      </c>
      <c r="B142" s="2" t="s">
        <v>90</v>
      </c>
      <c r="C142" s="3" t="s">
        <v>70</v>
      </c>
      <c r="D142" s="274">
        <f>(7.3*2+12.6*2)*2</f>
        <v>79.599999999999994</v>
      </c>
      <c r="E142" s="98"/>
      <c r="F142" s="90">
        <f t="shared" si="3"/>
        <v>0</v>
      </c>
    </row>
    <row r="143" spans="1:6" ht="30" x14ac:dyDescent="0.25">
      <c r="A143" s="4" t="s">
        <v>89</v>
      </c>
      <c r="B143" s="2" t="s">
        <v>92</v>
      </c>
      <c r="C143" s="3" t="s">
        <v>43</v>
      </c>
      <c r="D143" s="274">
        <f>8*13.4*0.05</f>
        <v>5.36</v>
      </c>
      <c r="E143" s="98"/>
      <c r="F143" s="90">
        <f t="shared" si="3"/>
        <v>0</v>
      </c>
    </row>
    <row r="144" spans="1:6" ht="15" x14ac:dyDescent="0.25">
      <c r="A144" s="4" t="s">
        <v>91</v>
      </c>
      <c r="B144" s="2" t="s">
        <v>94</v>
      </c>
      <c r="C144" s="3" t="s">
        <v>50</v>
      </c>
      <c r="D144" s="274">
        <f>12.6*7.3</f>
        <v>91.97999999999999</v>
      </c>
      <c r="E144" s="98"/>
      <c r="F144" s="90">
        <f t="shared" si="3"/>
        <v>0</v>
      </c>
    </row>
    <row r="145" spans="1:6" ht="15" x14ac:dyDescent="0.25">
      <c r="A145" s="4" t="s">
        <v>93</v>
      </c>
      <c r="B145" s="2" t="s">
        <v>96</v>
      </c>
      <c r="C145" s="3" t="s">
        <v>50</v>
      </c>
      <c r="D145" s="274">
        <f>8*13.4-D144</f>
        <v>15.220000000000013</v>
      </c>
      <c r="E145" s="98"/>
      <c r="F145" s="90">
        <f t="shared" si="3"/>
        <v>0</v>
      </c>
    </row>
    <row r="146" spans="1:6" s="138" customFormat="1" ht="45" x14ac:dyDescent="0.25">
      <c r="A146" s="4" t="s">
        <v>95</v>
      </c>
      <c r="B146" s="2" t="s">
        <v>129</v>
      </c>
      <c r="C146" s="3" t="s">
        <v>88</v>
      </c>
      <c r="D146" s="274">
        <v>20</v>
      </c>
      <c r="E146" s="98"/>
      <c r="F146" s="90">
        <f t="shared" si="3"/>
        <v>0</v>
      </c>
    </row>
    <row r="147" spans="1:6" s="140" customFormat="1" ht="30" x14ac:dyDescent="0.25">
      <c r="A147" s="26" t="s">
        <v>135</v>
      </c>
      <c r="B147" s="5" t="s">
        <v>131</v>
      </c>
      <c r="C147" s="6" t="s">
        <v>88</v>
      </c>
      <c r="D147" s="274">
        <v>10</v>
      </c>
      <c r="E147" s="54"/>
      <c r="F147" s="87">
        <f t="shared" si="3"/>
        <v>0</v>
      </c>
    </row>
    <row r="148" spans="1:6" s="140" customFormat="1" ht="15" x14ac:dyDescent="0.25">
      <c r="A148" s="4" t="s">
        <v>97</v>
      </c>
      <c r="B148" s="5" t="s">
        <v>132</v>
      </c>
      <c r="C148" s="6" t="s">
        <v>88</v>
      </c>
      <c r="D148" s="274">
        <v>6</v>
      </c>
      <c r="E148" s="54"/>
      <c r="F148" s="87">
        <f t="shared" si="3"/>
        <v>0</v>
      </c>
    </row>
    <row r="149" spans="1:6" ht="30" x14ac:dyDescent="0.25">
      <c r="A149" s="4" t="s">
        <v>105</v>
      </c>
      <c r="B149" s="2" t="s">
        <v>104</v>
      </c>
      <c r="C149" s="3" t="s">
        <v>50</v>
      </c>
      <c r="D149" s="274">
        <v>7.74</v>
      </c>
      <c r="E149" s="98"/>
      <c r="F149" s="90">
        <f t="shared" si="3"/>
        <v>0</v>
      </c>
    </row>
    <row r="150" spans="1:6" s="142" customFormat="1" ht="15" x14ac:dyDescent="0.25">
      <c r="A150" s="26" t="s">
        <v>107</v>
      </c>
      <c r="B150" s="5" t="s">
        <v>106</v>
      </c>
      <c r="C150" s="6" t="s">
        <v>26</v>
      </c>
      <c r="D150" s="274">
        <v>1</v>
      </c>
      <c r="E150" s="54"/>
      <c r="F150" s="91">
        <f t="shared" si="3"/>
        <v>0</v>
      </c>
    </row>
    <row r="151" spans="1:6" ht="30" x14ac:dyDescent="0.25">
      <c r="A151" s="4" t="s">
        <v>161</v>
      </c>
      <c r="B151" s="2" t="s">
        <v>108</v>
      </c>
      <c r="C151" s="3" t="s">
        <v>50</v>
      </c>
      <c r="D151" s="274">
        <f>D139</f>
        <v>368.24</v>
      </c>
      <c r="E151" s="98"/>
      <c r="F151" s="91">
        <f t="shared" si="3"/>
        <v>0</v>
      </c>
    </row>
    <row r="152" spans="1:6" s="138" customFormat="1" ht="60" x14ac:dyDescent="0.25">
      <c r="A152" s="26" t="s">
        <v>109</v>
      </c>
      <c r="B152" s="2" t="s">
        <v>133</v>
      </c>
      <c r="C152" s="3" t="s">
        <v>55</v>
      </c>
      <c r="D152" s="274">
        <v>20</v>
      </c>
      <c r="E152" s="98"/>
      <c r="F152" s="90">
        <f t="shared" si="3"/>
        <v>0</v>
      </c>
    </row>
    <row r="153" spans="1:6" s="138" customFormat="1" ht="30" x14ac:dyDescent="0.25">
      <c r="A153" s="26" t="s">
        <v>162</v>
      </c>
      <c r="B153" s="2" t="s">
        <v>134</v>
      </c>
      <c r="C153" s="3" t="s">
        <v>43</v>
      </c>
      <c r="D153" s="274">
        <f>1.1*4*0.6*0.1*2</f>
        <v>0.52800000000000002</v>
      </c>
      <c r="E153" s="98"/>
      <c r="F153" s="90">
        <f t="shared" si="3"/>
        <v>0</v>
      </c>
    </row>
    <row r="154" spans="1:6" ht="30" x14ac:dyDescent="0.25">
      <c r="A154" s="4" t="s">
        <v>163</v>
      </c>
      <c r="B154" s="2" t="s">
        <v>136</v>
      </c>
      <c r="C154" s="3" t="s">
        <v>70</v>
      </c>
      <c r="D154" s="274">
        <v>40</v>
      </c>
      <c r="E154" s="98"/>
      <c r="F154" s="90">
        <f t="shared" si="3"/>
        <v>0</v>
      </c>
    </row>
    <row r="155" spans="1:6" ht="75" x14ac:dyDescent="0.25">
      <c r="A155" s="26" t="s">
        <v>164</v>
      </c>
      <c r="B155" s="2" t="s">
        <v>137</v>
      </c>
      <c r="C155" s="3" t="s">
        <v>70</v>
      </c>
      <c r="D155" s="274">
        <v>30</v>
      </c>
      <c r="E155" s="98"/>
      <c r="F155" s="90">
        <f t="shared" si="3"/>
        <v>0</v>
      </c>
    </row>
    <row r="156" spans="1:6" s="140" customFormat="1" ht="30" x14ac:dyDescent="0.25">
      <c r="A156" s="4" t="s">
        <v>111</v>
      </c>
      <c r="B156" s="5" t="s">
        <v>138</v>
      </c>
      <c r="C156" s="6" t="s">
        <v>55</v>
      </c>
      <c r="D156" s="274">
        <v>6</v>
      </c>
      <c r="E156" s="54"/>
      <c r="F156" s="87">
        <f t="shared" si="3"/>
        <v>0</v>
      </c>
    </row>
    <row r="157" spans="1:6" ht="30" x14ac:dyDescent="0.25">
      <c r="A157" s="26" t="s">
        <v>165</v>
      </c>
      <c r="B157" s="2" t="s">
        <v>112</v>
      </c>
      <c r="C157" s="3" t="s">
        <v>43</v>
      </c>
      <c r="D157" s="274">
        <f>4*2.9*0.1</f>
        <v>1.1599999999999999</v>
      </c>
      <c r="E157" s="98"/>
      <c r="F157" s="90">
        <f t="shared" si="3"/>
        <v>0</v>
      </c>
    </row>
    <row r="158" spans="1:6" s="156" customFormat="1" ht="15" x14ac:dyDescent="0.25">
      <c r="A158" s="92" t="s">
        <v>166</v>
      </c>
      <c r="B158" s="93" t="s">
        <v>139</v>
      </c>
      <c r="C158" s="94" t="s">
        <v>43</v>
      </c>
      <c r="D158" s="341">
        <v>10.8</v>
      </c>
      <c r="E158" s="99"/>
      <c r="F158" s="95">
        <f t="shared" si="3"/>
        <v>0</v>
      </c>
    </row>
    <row r="159" spans="1:6" ht="15" x14ac:dyDescent="0.25">
      <c r="A159" s="58"/>
      <c r="B159" s="59" t="s">
        <v>113</v>
      </c>
      <c r="C159" s="76"/>
      <c r="D159" s="337"/>
      <c r="E159" s="77"/>
      <c r="F159" s="61">
        <f>SUM(F113:F158)</f>
        <v>0</v>
      </c>
    </row>
    <row r="160" spans="1:6" s="138" customFormat="1" ht="18.75" x14ac:dyDescent="0.25">
      <c r="A160" s="64"/>
      <c r="B160" s="37" t="s">
        <v>140</v>
      </c>
      <c r="C160" s="66"/>
      <c r="D160" s="338"/>
      <c r="E160" s="66"/>
      <c r="F160" s="89"/>
    </row>
    <row r="161" spans="1:15" s="138" customFormat="1" ht="15" x14ac:dyDescent="0.25">
      <c r="A161" s="147">
        <v>60</v>
      </c>
      <c r="B161" s="148" t="s">
        <v>141</v>
      </c>
      <c r="C161" s="149" t="s">
        <v>50</v>
      </c>
      <c r="D161" s="280">
        <v>4.1500000000000004</v>
      </c>
      <c r="E161" s="149"/>
      <c r="F161" s="87">
        <f t="shared" ref="F161:F175" si="4">D161*E161</f>
        <v>0</v>
      </c>
      <c r="G161" s="157"/>
      <c r="H161" s="158"/>
      <c r="I161" s="158"/>
      <c r="J161" s="158"/>
      <c r="K161" s="158"/>
      <c r="L161" s="158"/>
      <c r="M161" s="158"/>
      <c r="N161" s="158"/>
      <c r="O161" s="158"/>
    </row>
    <row r="162" spans="1:15" s="138" customFormat="1" ht="30" x14ac:dyDescent="0.25">
      <c r="A162" s="147">
        <v>61</v>
      </c>
      <c r="B162" s="150" t="s">
        <v>142</v>
      </c>
      <c r="C162" s="151" t="s">
        <v>43</v>
      </c>
      <c r="D162" s="281">
        <v>3.01</v>
      </c>
      <c r="E162" s="152"/>
      <c r="F162" s="87">
        <f t="shared" si="4"/>
        <v>0</v>
      </c>
      <c r="G162" s="157"/>
      <c r="H162" s="158"/>
      <c r="I162" s="158"/>
      <c r="J162" s="158"/>
      <c r="K162" s="158"/>
      <c r="L162" s="158"/>
      <c r="M162" s="158"/>
      <c r="N162" s="158"/>
      <c r="O162" s="158"/>
    </row>
    <row r="163" spans="1:15" ht="30" x14ac:dyDescent="0.25">
      <c r="A163" s="147">
        <v>62</v>
      </c>
      <c r="B163" s="150" t="s">
        <v>143</v>
      </c>
      <c r="C163" s="151" t="s">
        <v>50</v>
      </c>
      <c r="D163" s="281">
        <v>2.54</v>
      </c>
      <c r="E163" s="151"/>
      <c r="F163" s="87">
        <f t="shared" si="4"/>
        <v>0</v>
      </c>
      <c r="G163" s="157"/>
      <c r="H163" s="158"/>
      <c r="I163" s="158"/>
      <c r="J163" s="158"/>
      <c r="K163" s="158"/>
      <c r="L163" s="158"/>
      <c r="M163" s="158"/>
      <c r="N163" s="158"/>
      <c r="O163" s="158"/>
    </row>
    <row r="164" spans="1:15" ht="30" x14ac:dyDescent="0.25">
      <c r="A164" s="147">
        <v>63</v>
      </c>
      <c r="B164" s="150" t="s">
        <v>144</v>
      </c>
      <c r="C164" s="151" t="s">
        <v>145</v>
      </c>
      <c r="D164" s="281">
        <v>1</v>
      </c>
      <c r="E164" s="152"/>
      <c r="F164" s="87">
        <f t="shared" si="4"/>
        <v>0</v>
      </c>
      <c r="G164" s="157"/>
      <c r="H164" s="158"/>
      <c r="I164" s="158"/>
      <c r="J164" s="158"/>
      <c r="K164" s="158"/>
      <c r="L164" s="158"/>
      <c r="M164" s="158"/>
      <c r="N164" s="158"/>
      <c r="O164" s="158"/>
    </row>
    <row r="165" spans="1:15" ht="45" x14ac:dyDescent="0.25">
      <c r="A165" s="147">
        <v>64</v>
      </c>
      <c r="B165" s="150" t="s">
        <v>146</v>
      </c>
      <c r="C165" s="151" t="s">
        <v>43</v>
      </c>
      <c r="D165" s="281">
        <v>0.2</v>
      </c>
      <c r="E165" s="152"/>
      <c r="F165" s="87">
        <f t="shared" si="4"/>
        <v>0</v>
      </c>
      <c r="G165" s="157"/>
      <c r="H165" s="158"/>
      <c r="I165" s="158"/>
      <c r="J165" s="158"/>
      <c r="K165" s="158"/>
      <c r="L165" s="158"/>
      <c r="M165" s="158"/>
      <c r="N165" s="158"/>
      <c r="O165" s="158"/>
    </row>
    <row r="166" spans="1:15" ht="30" x14ac:dyDescent="0.25">
      <c r="A166" s="147">
        <v>65</v>
      </c>
      <c r="B166" s="150" t="s">
        <v>147</v>
      </c>
      <c r="C166" s="151" t="s">
        <v>50</v>
      </c>
      <c r="D166" s="281">
        <v>2</v>
      </c>
      <c r="E166" s="151"/>
      <c r="F166" s="87">
        <f t="shared" si="4"/>
        <v>0</v>
      </c>
      <c r="G166" s="157"/>
      <c r="H166" s="158"/>
      <c r="I166" s="158"/>
      <c r="J166" s="158"/>
      <c r="K166" s="158"/>
      <c r="L166" s="158"/>
      <c r="M166" s="158"/>
      <c r="N166" s="158"/>
      <c r="O166" s="158"/>
    </row>
    <row r="167" spans="1:15" s="138" customFormat="1" ht="30" x14ac:dyDescent="0.25">
      <c r="A167" s="147">
        <v>66</v>
      </c>
      <c r="B167" s="150" t="s">
        <v>148</v>
      </c>
      <c r="C167" s="151" t="s">
        <v>50</v>
      </c>
      <c r="D167" s="281">
        <v>5.0199999999999996</v>
      </c>
      <c r="E167" s="151"/>
      <c r="F167" s="87">
        <f t="shared" si="4"/>
        <v>0</v>
      </c>
      <c r="G167" s="157"/>
      <c r="H167" s="158"/>
      <c r="I167" s="158"/>
      <c r="J167" s="158"/>
      <c r="K167" s="158"/>
      <c r="L167" s="158"/>
      <c r="M167" s="158"/>
      <c r="N167" s="158"/>
      <c r="O167" s="158"/>
    </row>
    <row r="168" spans="1:15" s="138" customFormat="1" ht="30" x14ac:dyDescent="0.25">
      <c r="A168" s="147">
        <v>67</v>
      </c>
      <c r="B168" s="150" t="s">
        <v>149</v>
      </c>
      <c r="C168" s="151" t="s">
        <v>70</v>
      </c>
      <c r="D168" s="281">
        <v>6</v>
      </c>
      <c r="E168" s="151"/>
      <c r="F168" s="87">
        <f t="shared" si="4"/>
        <v>0</v>
      </c>
      <c r="G168" s="157"/>
      <c r="H168" s="158"/>
      <c r="I168" s="158"/>
      <c r="J168" s="158"/>
      <c r="K168" s="158"/>
      <c r="L168" s="158"/>
      <c r="M168" s="158"/>
      <c r="N168" s="158"/>
      <c r="O168" s="158"/>
    </row>
    <row r="169" spans="1:15" s="138" customFormat="1" ht="30" x14ac:dyDescent="0.25">
      <c r="A169" s="147">
        <v>68</v>
      </c>
      <c r="B169" s="150" t="s">
        <v>150</v>
      </c>
      <c r="C169" s="151" t="s">
        <v>88</v>
      </c>
      <c r="D169" s="281">
        <v>1</v>
      </c>
      <c r="E169" s="151"/>
      <c r="F169" s="87">
        <f t="shared" si="4"/>
        <v>0</v>
      </c>
      <c r="G169" s="157"/>
      <c r="H169" s="158"/>
      <c r="I169" s="158"/>
      <c r="J169" s="158"/>
      <c r="K169" s="158"/>
      <c r="L169" s="158"/>
      <c r="M169" s="158"/>
      <c r="N169" s="158"/>
      <c r="O169" s="158"/>
    </row>
    <row r="170" spans="1:15" s="138" customFormat="1" ht="30" x14ac:dyDescent="0.25">
      <c r="A170" s="147">
        <v>69</v>
      </c>
      <c r="B170" s="150" t="s">
        <v>151</v>
      </c>
      <c r="C170" s="151" t="s">
        <v>88</v>
      </c>
      <c r="D170" s="281">
        <v>1</v>
      </c>
      <c r="E170" s="151"/>
      <c r="F170" s="87">
        <f t="shared" si="4"/>
        <v>0</v>
      </c>
      <c r="G170" s="157"/>
      <c r="H170" s="158"/>
      <c r="I170" s="158"/>
      <c r="J170" s="158"/>
      <c r="K170" s="158"/>
      <c r="L170" s="158"/>
      <c r="M170" s="158"/>
      <c r="N170" s="158"/>
      <c r="O170" s="158"/>
    </row>
    <row r="171" spans="1:15" s="138" customFormat="1" ht="15" x14ac:dyDescent="0.25">
      <c r="A171" s="147">
        <v>70</v>
      </c>
      <c r="B171" s="150" t="s">
        <v>152</v>
      </c>
      <c r="C171" s="151" t="s">
        <v>43</v>
      </c>
      <c r="D171" s="281">
        <v>3.93</v>
      </c>
      <c r="E171" s="151"/>
      <c r="F171" s="87">
        <f t="shared" si="4"/>
        <v>0</v>
      </c>
      <c r="G171" s="157"/>
      <c r="H171" s="158"/>
      <c r="I171" s="158"/>
      <c r="J171" s="158"/>
      <c r="K171" s="158"/>
      <c r="L171" s="158"/>
      <c r="M171" s="158"/>
      <c r="N171" s="158"/>
      <c r="O171" s="158"/>
    </row>
    <row r="172" spans="1:15" ht="15" x14ac:dyDescent="0.25">
      <c r="A172" s="147">
        <v>71</v>
      </c>
      <c r="B172" s="150" t="s">
        <v>153</v>
      </c>
      <c r="C172" s="151" t="s">
        <v>43</v>
      </c>
      <c r="D172" s="281">
        <v>3.93</v>
      </c>
      <c r="E172" s="151"/>
      <c r="F172" s="87">
        <f t="shared" si="4"/>
        <v>0</v>
      </c>
      <c r="G172" s="157"/>
      <c r="H172" s="158"/>
      <c r="I172" s="158"/>
      <c r="J172" s="158"/>
      <c r="K172" s="158"/>
      <c r="L172" s="158"/>
      <c r="M172" s="158"/>
      <c r="N172" s="158"/>
      <c r="O172" s="158"/>
    </row>
    <row r="173" spans="1:15" s="138" customFormat="1" ht="45" x14ac:dyDescent="0.25">
      <c r="A173" s="147">
        <v>72</v>
      </c>
      <c r="B173" s="150" t="s">
        <v>154</v>
      </c>
      <c r="C173" s="151" t="s">
        <v>43</v>
      </c>
      <c r="D173" s="281">
        <v>1.22</v>
      </c>
      <c r="E173" s="152"/>
      <c r="F173" s="87">
        <f t="shared" si="4"/>
        <v>0</v>
      </c>
      <c r="G173" s="157"/>
      <c r="H173" s="158"/>
      <c r="I173" s="158"/>
      <c r="J173" s="158"/>
      <c r="K173" s="158"/>
      <c r="L173" s="158"/>
      <c r="M173" s="158"/>
      <c r="N173" s="158"/>
      <c r="O173" s="158"/>
    </row>
    <row r="174" spans="1:15" s="138" customFormat="1" ht="30" x14ac:dyDescent="0.25">
      <c r="A174" s="147">
        <v>73</v>
      </c>
      <c r="B174" s="150" t="s">
        <v>143</v>
      </c>
      <c r="C174" s="151" t="s">
        <v>50</v>
      </c>
      <c r="D174" s="281">
        <v>1.22</v>
      </c>
      <c r="E174" s="151"/>
      <c r="F174" s="87">
        <f t="shared" si="4"/>
        <v>0</v>
      </c>
      <c r="G174" s="157"/>
      <c r="H174" s="158"/>
      <c r="I174" s="158"/>
      <c r="J174" s="158"/>
      <c r="K174" s="158"/>
      <c r="L174" s="158"/>
      <c r="M174" s="158"/>
      <c r="N174" s="158"/>
      <c r="O174" s="158"/>
    </row>
    <row r="175" spans="1:15" ht="60" x14ac:dyDescent="0.25">
      <c r="A175" s="147">
        <v>74</v>
      </c>
      <c r="B175" s="153" t="s">
        <v>155</v>
      </c>
      <c r="C175" s="154" t="s">
        <v>50</v>
      </c>
      <c r="D175" s="282">
        <v>130</v>
      </c>
      <c r="E175" s="154"/>
      <c r="F175" s="87">
        <f t="shared" si="4"/>
        <v>0</v>
      </c>
      <c r="G175" s="157"/>
      <c r="H175" s="158"/>
      <c r="I175" s="158"/>
      <c r="J175" s="158"/>
      <c r="K175" s="158"/>
      <c r="L175" s="158"/>
      <c r="M175" s="158"/>
      <c r="N175" s="158"/>
      <c r="O175" s="158"/>
    </row>
    <row r="176" spans="1:15" ht="15" x14ac:dyDescent="0.25">
      <c r="A176" s="79"/>
      <c r="B176" s="80" t="s">
        <v>156</v>
      </c>
      <c r="C176" s="81"/>
      <c r="D176" s="339"/>
      <c r="E176" s="82"/>
      <c r="F176" s="83">
        <f>SUM(F161:F175)</f>
        <v>0</v>
      </c>
    </row>
    <row r="177" spans="1:6" ht="39" x14ac:dyDescent="0.25">
      <c r="A177" s="155"/>
      <c r="B177" s="143" t="s">
        <v>167</v>
      </c>
      <c r="C177" s="144"/>
      <c r="D177" s="340"/>
      <c r="E177" s="144"/>
      <c r="F177" s="84">
        <f>SUM(F176+F159)</f>
        <v>0</v>
      </c>
    </row>
    <row r="178" spans="1:6" s="138" customFormat="1" ht="14.45" customHeight="1" x14ac:dyDescent="0.25">
      <c r="A178" s="350" t="s">
        <v>168</v>
      </c>
      <c r="B178" s="351"/>
      <c r="C178" s="159"/>
      <c r="D178" s="342"/>
      <c r="E178" s="159"/>
      <c r="F178" s="160"/>
    </row>
    <row r="179" spans="1:6" ht="15" x14ac:dyDescent="0.25">
      <c r="A179" s="4" t="s">
        <v>24</v>
      </c>
      <c r="B179" s="28" t="s">
        <v>25</v>
      </c>
      <c r="C179" s="31" t="s">
        <v>26</v>
      </c>
      <c r="D179" s="274">
        <v>1</v>
      </c>
      <c r="E179" s="96"/>
      <c r="F179" s="8">
        <f t="shared" ref="F179:F222" si="5">D179*E179</f>
        <v>0</v>
      </c>
    </row>
    <row r="180" spans="1:6" s="138" customFormat="1" ht="18" x14ac:dyDescent="0.25">
      <c r="A180" s="4" t="s">
        <v>27</v>
      </c>
      <c r="B180" s="28" t="s">
        <v>28</v>
      </c>
      <c r="C180" s="31" t="s">
        <v>159</v>
      </c>
      <c r="D180" s="274">
        <f>14.4*9</f>
        <v>129.6</v>
      </c>
      <c r="E180" s="97"/>
      <c r="F180" s="8">
        <f t="shared" si="5"/>
        <v>0</v>
      </c>
    </row>
    <row r="181" spans="1:6" s="138" customFormat="1" ht="18" x14ac:dyDescent="0.25">
      <c r="A181" s="4" t="s">
        <v>30</v>
      </c>
      <c r="B181" s="28" t="s">
        <v>31</v>
      </c>
      <c r="C181" s="31" t="s">
        <v>160</v>
      </c>
      <c r="D181" s="274">
        <f>D180*0.5</f>
        <v>64.8</v>
      </c>
      <c r="E181" s="96"/>
      <c r="F181" s="8">
        <f t="shared" si="5"/>
        <v>0</v>
      </c>
    </row>
    <row r="182" spans="1:6" s="138" customFormat="1" ht="45" x14ac:dyDescent="0.25">
      <c r="A182" s="4" t="s">
        <v>33</v>
      </c>
      <c r="B182" s="28" t="s">
        <v>34</v>
      </c>
      <c r="C182" s="31" t="s">
        <v>160</v>
      </c>
      <c r="D182" s="274">
        <f>17.5*5.9*3</f>
        <v>309.75</v>
      </c>
      <c r="E182" s="97"/>
      <c r="F182" s="8">
        <f t="shared" si="5"/>
        <v>0</v>
      </c>
    </row>
    <row r="183" spans="1:6" ht="18" x14ac:dyDescent="0.25">
      <c r="A183" s="4" t="s">
        <v>35</v>
      </c>
      <c r="B183" s="2" t="s">
        <v>36</v>
      </c>
      <c r="C183" s="31" t="s">
        <v>160</v>
      </c>
      <c r="D183" s="275">
        <f>(14.5+2.9)*2*1.5*3</f>
        <v>156.6</v>
      </c>
      <c r="E183" s="98"/>
      <c r="F183" s="8">
        <f t="shared" si="5"/>
        <v>0</v>
      </c>
    </row>
    <row r="184" spans="1:6" s="138" customFormat="1" ht="18" x14ac:dyDescent="0.25">
      <c r="A184" s="4" t="s">
        <v>37</v>
      </c>
      <c r="B184" s="2" t="s">
        <v>38</v>
      </c>
      <c r="C184" s="31" t="s">
        <v>160</v>
      </c>
      <c r="D184" s="274">
        <f>D181+D182-D183</f>
        <v>217.95000000000002</v>
      </c>
      <c r="E184" s="98"/>
      <c r="F184" s="8">
        <f t="shared" si="5"/>
        <v>0</v>
      </c>
    </row>
    <row r="185" spans="1:6" s="138" customFormat="1" ht="45" x14ac:dyDescent="0.25">
      <c r="A185" s="4" t="s">
        <v>39</v>
      </c>
      <c r="B185" s="2" t="s">
        <v>40</v>
      </c>
      <c r="C185" s="31" t="s">
        <v>160</v>
      </c>
      <c r="D185" s="274">
        <f>(14.1+2.5)*0.4*0.05</f>
        <v>0.33200000000000007</v>
      </c>
      <c r="E185" s="98"/>
      <c r="F185" s="8">
        <f t="shared" si="5"/>
        <v>0</v>
      </c>
    </row>
    <row r="186" spans="1:6" s="138" customFormat="1" ht="45" x14ac:dyDescent="0.25">
      <c r="A186" s="4" t="s">
        <v>41</v>
      </c>
      <c r="B186" s="2" t="s">
        <v>42</v>
      </c>
      <c r="C186" s="3" t="s">
        <v>43</v>
      </c>
      <c r="D186" s="274">
        <f>(14.1+2.5)*0.4*3.6</f>
        <v>23.904000000000003</v>
      </c>
      <c r="E186" s="98"/>
      <c r="F186" s="8">
        <f t="shared" si="5"/>
        <v>0</v>
      </c>
    </row>
    <row r="187" spans="1:6" s="138" customFormat="1" ht="15" x14ac:dyDescent="0.25">
      <c r="A187" s="4" t="s">
        <v>44</v>
      </c>
      <c r="B187" s="2" t="s">
        <v>45</v>
      </c>
      <c r="C187" s="3" t="s">
        <v>43</v>
      </c>
      <c r="D187" s="274">
        <f>(14.1+2.5)*0.4*0.05</f>
        <v>0.33200000000000007</v>
      </c>
      <c r="E187" s="98"/>
      <c r="F187" s="8">
        <f t="shared" si="5"/>
        <v>0</v>
      </c>
    </row>
    <row r="188" spans="1:6" ht="15" x14ac:dyDescent="0.25">
      <c r="A188" s="4" t="s">
        <v>46</v>
      </c>
      <c r="B188" s="2" t="s">
        <v>47</v>
      </c>
      <c r="C188" s="3" t="s">
        <v>43</v>
      </c>
      <c r="D188" s="274">
        <f>(14.1+2.5)*0.25*0.2*3</f>
        <v>2.4900000000000002</v>
      </c>
      <c r="E188" s="98"/>
      <c r="F188" s="8">
        <f t="shared" si="5"/>
        <v>0</v>
      </c>
    </row>
    <row r="189" spans="1:6" s="138" customFormat="1" ht="30" x14ac:dyDescent="0.25">
      <c r="A189" s="4" t="s">
        <v>48</v>
      </c>
      <c r="B189" s="2" t="s">
        <v>49</v>
      </c>
      <c r="C189" s="3" t="s">
        <v>50</v>
      </c>
      <c r="D189" s="274">
        <f>(13.7+2.1)*2*3</f>
        <v>94.8</v>
      </c>
      <c r="E189" s="98"/>
      <c r="F189" s="8">
        <f t="shared" si="5"/>
        <v>0</v>
      </c>
    </row>
    <row r="190" spans="1:6" ht="30" x14ac:dyDescent="0.25">
      <c r="A190" s="4" t="s">
        <v>51</v>
      </c>
      <c r="B190" s="2" t="s">
        <v>52</v>
      </c>
      <c r="C190" s="3" t="s">
        <v>43</v>
      </c>
      <c r="D190" s="274">
        <f>13.7*2.1*0.3</f>
        <v>8.6310000000000002</v>
      </c>
      <c r="E190" s="98"/>
      <c r="F190" s="8">
        <f t="shared" si="5"/>
        <v>0</v>
      </c>
    </row>
    <row r="191" spans="1:6" s="138" customFormat="1" ht="45" x14ac:dyDescent="0.25">
      <c r="A191" s="4" t="s">
        <v>53</v>
      </c>
      <c r="B191" s="2" t="s">
        <v>54</v>
      </c>
      <c r="C191" s="3" t="s">
        <v>55</v>
      </c>
      <c r="D191" s="274">
        <v>1</v>
      </c>
      <c r="E191" s="98"/>
      <c r="F191" s="8">
        <f t="shared" si="5"/>
        <v>0</v>
      </c>
    </row>
    <row r="192" spans="1:6" s="138" customFormat="1" ht="30" x14ac:dyDescent="0.25">
      <c r="A192" s="4" t="s">
        <v>56</v>
      </c>
      <c r="B192" s="2" t="s">
        <v>57</v>
      </c>
      <c r="C192" s="3" t="s">
        <v>43</v>
      </c>
      <c r="D192" s="274">
        <f>13.4*8*0.15</f>
        <v>16.079999999999998</v>
      </c>
      <c r="E192" s="98"/>
      <c r="F192" s="8">
        <f t="shared" si="5"/>
        <v>0</v>
      </c>
    </row>
    <row r="193" spans="1:6" s="138" customFormat="1" ht="30" x14ac:dyDescent="0.25">
      <c r="A193" s="4" t="s">
        <v>58</v>
      </c>
      <c r="B193" s="2" t="s">
        <v>59</v>
      </c>
      <c r="C193" s="3" t="s">
        <v>50</v>
      </c>
      <c r="D193" s="274">
        <f>0.7*1.5*0.15*2</f>
        <v>0.31499999999999995</v>
      </c>
      <c r="E193" s="98"/>
      <c r="F193" s="8">
        <f t="shared" si="5"/>
        <v>0</v>
      </c>
    </row>
    <row r="194" spans="1:6" ht="15" x14ac:dyDescent="0.25">
      <c r="A194" s="4" t="s">
        <v>60</v>
      </c>
      <c r="B194" s="2" t="s">
        <v>61</v>
      </c>
      <c r="C194" s="3" t="s">
        <v>62</v>
      </c>
      <c r="D194" s="274">
        <v>74.400000000000006</v>
      </c>
      <c r="E194" s="98"/>
      <c r="F194" s="8">
        <f t="shared" si="5"/>
        <v>0</v>
      </c>
    </row>
    <row r="195" spans="1:6" s="138" customFormat="1" ht="30" x14ac:dyDescent="0.25">
      <c r="A195" s="4" t="s">
        <v>124</v>
      </c>
      <c r="B195" s="2" t="s">
        <v>119</v>
      </c>
      <c r="C195" s="3" t="s">
        <v>43</v>
      </c>
      <c r="D195" s="274">
        <f>0.2*0.2*3.4*8</f>
        <v>1.0880000000000001</v>
      </c>
      <c r="E195" s="98"/>
      <c r="F195" s="8">
        <f t="shared" si="5"/>
        <v>0</v>
      </c>
    </row>
    <row r="196" spans="1:6" s="138" customFormat="1" ht="30" x14ac:dyDescent="0.25">
      <c r="A196" s="4" t="s">
        <v>125</v>
      </c>
      <c r="B196" s="2" t="s">
        <v>121</v>
      </c>
      <c r="C196" s="3" t="s">
        <v>43</v>
      </c>
      <c r="D196" s="276">
        <f>(7.3*2+12.6*3)*0.2*0.2</f>
        <v>2.0960000000000001</v>
      </c>
      <c r="E196" s="98"/>
      <c r="F196" s="8">
        <f t="shared" si="5"/>
        <v>0</v>
      </c>
    </row>
    <row r="197" spans="1:6" s="138" customFormat="1" ht="30" x14ac:dyDescent="0.25">
      <c r="A197" s="4" t="s">
        <v>63</v>
      </c>
      <c r="B197" s="2" t="s">
        <v>64</v>
      </c>
      <c r="C197" s="3" t="s">
        <v>50</v>
      </c>
      <c r="D197" s="276">
        <f>(7.3*2+12.6*2)*3.4-1.2*3.4*2</f>
        <v>127.16</v>
      </c>
      <c r="E197" s="98"/>
      <c r="F197" s="8">
        <f t="shared" si="5"/>
        <v>0</v>
      </c>
    </row>
    <row r="198" spans="1:6" s="138" customFormat="1" ht="30" x14ac:dyDescent="0.25">
      <c r="A198" s="4" t="s">
        <v>127</v>
      </c>
      <c r="B198" s="2" t="s">
        <v>123</v>
      </c>
      <c r="C198" s="3" t="s">
        <v>50</v>
      </c>
      <c r="D198" s="274">
        <f>12.6*3.4+(12.6*2+1.1*18+8)*2.1-0.8*2.1*20</f>
        <v>120.54000000000002</v>
      </c>
      <c r="E198" s="98"/>
      <c r="F198" s="8">
        <f t="shared" si="5"/>
        <v>0</v>
      </c>
    </row>
    <row r="199" spans="1:6" ht="15" x14ac:dyDescent="0.25">
      <c r="A199" s="4" t="s">
        <v>65</v>
      </c>
      <c r="B199" s="2" t="s">
        <v>66</v>
      </c>
      <c r="C199" s="3" t="s">
        <v>67</v>
      </c>
      <c r="D199" s="274">
        <v>10</v>
      </c>
      <c r="E199" s="98"/>
      <c r="F199" s="8">
        <f t="shared" si="5"/>
        <v>0</v>
      </c>
    </row>
    <row r="200" spans="1:6" s="138" customFormat="1" ht="15" x14ac:dyDescent="0.25">
      <c r="A200" s="4" t="s">
        <v>68</v>
      </c>
      <c r="B200" s="2" t="s">
        <v>69</v>
      </c>
      <c r="C200" s="3" t="s">
        <v>70</v>
      </c>
      <c r="D200" s="276">
        <f>95.87*1.5</f>
        <v>143.80500000000001</v>
      </c>
      <c r="E200" s="98"/>
      <c r="F200" s="8">
        <f t="shared" si="5"/>
        <v>0</v>
      </c>
    </row>
    <row r="201" spans="1:6" s="138" customFormat="1" ht="30" x14ac:dyDescent="0.25">
      <c r="A201" s="4" t="s">
        <v>71</v>
      </c>
      <c r="B201" s="2" t="s">
        <v>126</v>
      </c>
      <c r="C201" s="3" t="s">
        <v>50</v>
      </c>
      <c r="D201" s="274">
        <f>13.4*8*1.15</f>
        <v>123.27999999999999</v>
      </c>
      <c r="E201" s="98"/>
      <c r="F201" s="8">
        <f t="shared" si="5"/>
        <v>0</v>
      </c>
    </row>
    <row r="202" spans="1:6" s="138" customFormat="1" ht="15" x14ac:dyDescent="0.25">
      <c r="A202" s="4" t="s">
        <v>73</v>
      </c>
      <c r="B202" s="2" t="s">
        <v>74</v>
      </c>
      <c r="C202" s="3" t="s">
        <v>70</v>
      </c>
      <c r="D202" s="274">
        <v>13.4</v>
      </c>
      <c r="E202" s="98"/>
      <c r="F202" s="8">
        <f t="shared" si="5"/>
        <v>0</v>
      </c>
    </row>
    <row r="203" spans="1:6" ht="15" x14ac:dyDescent="0.25">
      <c r="A203" s="4" t="s">
        <v>75</v>
      </c>
      <c r="B203" s="2" t="s">
        <v>76</v>
      </c>
      <c r="C203" s="3" t="s">
        <v>70</v>
      </c>
      <c r="D203" s="274">
        <f>13.4+16</f>
        <v>29.4</v>
      </c>
      <c r="E203" s="98"/>
      <c r="F203" s="8">
        <f t="shared" si="5"/>
        <v>0</v>
      </c>
    </row>
    <row r="204" spans="1:6" s="138" customFormat="1" ht="45" x14ac:dyDescent="0.25">
      <c r="A204" s="4" t="s">
        <v>77</v>
      </c>
      <c r="B204" s="2" t="s">
        <v>78</v>
      </c>
      <c r="C204" s="3" t="s">
        <v>79</v>
      </c>
      <c r="D204" s="1">
        <v>1</v>
      </c>
      <c r="E204" s="98"/>
      <c r="F204" s="8">
        <f t="shared" si="5"/>
        <v>0</v>
      </c>
    </row>
    <row r="205" spans="1:6" s="138" customFormat="1" ht="45" x14ac:dyDescent="0.25">
      <c r="A205" s="4" t="s">
        <v>80</v>
      </c>
      <c r="B205" s="2" t="s">
        <v>81</v>
      </c>
      <c r="C205" s="3" t="s">
        <v>50</v>
      </c>
      <c r="D205" s="274">
        <f>D198*2+D197</f>
        <v>368.24</v>
      </c>
      <c r="E205" s="98"/>
      <c r="F205" s="8">
        <f t="shared" si="5"/>
        <v>0</v>
      </c>
    </row>
    <row r="206" spans="1:6" ht="30" x14ac:dyDescent="0.25">
      <c r="A206" s="4" t="s">
        <v>82</v>
      </c>
      <c r="B206" s="2" t="s">
        <v>83</v>
      </c>
      <c r="C206" s="3" t="s">
        <v>50</v>
      </c>
      <c r="D206" s="274">
        <f>D197</f>
        <v>127.16</v>
      </c>
      <c r="E206" s="98"/>
      <c r="F206" s="8">
        <f t="shared" si="5"/>
        <v>0</v>
      </c>
    </row>
    <row r="207" spans="1:6" s="138" customFormat="1" ht="30" x14ac:dyDescent="0.25">
      <c r="A207" s="4" t="s">
        <v>84</v>
      </c>
      <c r="B207" s="2" t="s">
        <v>85</v>
      </c>
      <c r="C207" s="3" t="s">
        <v>26</v>
      </c>
      <c r="D207" s="274">
        <v>1</v>
      </c>
      <c r="E207" s="98"/>
      <c r="F207" s="8">
        <f t="shared" si="5"/>
        <v>0</v>
      </c>
    </row>
    <row r="208" spans="1:6" ht="15" x14ac:dyDescent="0.25">
      <c r="A208" s="4" t="s">
        <v>86</v>
      </c>
      <c r="B208" s="2" t="s">
        <v>90</v>
      </c>
      <c r="C208" s="3" t="s">
        <v>70</v>
      </c>
      <c r="D208" s="274">
        <f>(7.3*2+12.6*2)*2</f>
        <v>79.599999999999994</v>
      </c>
      <c r="E208" s="98"/>
      <c r="F208" s="8">
        <f t="shared" si="5"/>
        <v>0</v>
      </c>
    </row>
    <row r="209" spans="1:6" ht="30" x14ac:dyDescent="0.25">
      <c r="A209" s="4" t="s">
        <v>89</v>
      </c>
      <c r="B209" s="2" t="s">
        <v>92</v>
      </c>
      <c r="C209" s="3" t="s">
        <v>43</v>
      </c>
      <c r="D209" s="274">
        <f>8*13.4*0.05</f>
        <v>5.36</v>
      </c>
      <c r="E209" s="98"/>
      <c r="F209" s="8">
        <f t="shared" si="5"/>
        <v>0</v>
      </c>
    </row>
    <row r="210" spans="1:6" ht="15" x14ac:dyDescent="0.25">
      <c r="A210" s="4" t="s">
        <v>91</v>
      </c>
      <c r="B210" s="2" t="s">
        <v>94</v>
      </c>
      <c r="C210" s="3" t="s">
        <v>50</v>
      </c>
      <c r="D210" s="274">
        <f>12.6*7.3</f>
        <v>91.97999999999999</v>
      </c>
      <c r="E210" s="98"/>
      <c r="F210" s="8">
        <f t="shared" si="5"/>
        <v>0</v>
      </c>
    </row>
    <row r="211" spans="1:6" ht="15" x14ac:dyDescent="0.25">
      <c r="A211" s="4" t="s">
        <v>93</v>
      </c>
      <c r="B211" s="2" t="s">
        <v>96</v>
      </c>
      <c r="C211" s="3" t="s">
        <v>50</v>
      </c>
      <c r="D211" s="274">
        <f>8*13.4-D210</f>
        <v>15.220000000000013</v>
      </c>
      <c r="E211" s="98"/>
      <c r="F211" s="8">
        <f t="shared" si="5"/>
        <v>0</v>
      </c>
    </row>
    <row r="212" spans="1:6" s="138" customFormat="1" ht="45" x14ac:dyDescent="0.25">
      <c r="A212" s="4" t="s">
        <v>95</v>
      </c>
      <c r="B212" s="2" t="s">
        <v>129</v>
      </c>
      <c r="C212" s="3" t="s">
        <v>88</v>
      </c>
      <c r="D212" s="274">
        <v>20</v>
      </c>
      <c r="E212" s="98"/>
      <c r="F212" s="8">
        <f t="shared" si="5"/>
        <v>0</v>
      </c>
    </row>
    <row r="213" spans="1:6" s="140" customFormat="1" ht="30" x14ac:dyDescent="0.25">
      <c r="A213" s="26" t="s">
        <v>135</v>
      </c>
      <c r="B213" s="5" t="s">
        <v>131</v>
      </c>
      <c r="C213" s="6" t="s">
        <v>88</v>
      </c>
      <c r="D213" s="274">
        <v>14</v>
      </c>
      <c r="E213" s="54"/>
      <c r="F213" s="9">
        <f t="shared" si="5"/>
        <v>0</v>
      </c>
    </row>
    <row r="214" spans="1:6" s="142" customFormat="1" ht="15" x14ac:dyDescent="0.25">
      <c r="A214" s="26" t="s">
        <v>107</v>
      </c>
      <c r="B214" s="5" t="s">
        <v>106</v>
      </c>
      <c r="C214" s="6" t="s">
        <v>26</v>
      </c>
      <c r="D214" s="274">
        <v>1</v>
      </c>
      <c r="E214" s="54"/>
      <c r="F214" s="7">
        <f t="shared" si="5"/>
        <v>0</v>
      </c>
    </row>
    <row r="215" spans="1:6" ht="30" x14ac:dyDescent="0.25">
      <c r="A215" s="4" t="s">
        <v>161</v>
      </c>
      <c r="B215" s="2" t="s">
        <v>108</v>
      </c>
      <c r="C215" s="3" t="s">
        <v>50</v>
      </c>
      <c r="D215" s="274">
        <f>D205</f>
        <v>368.24</v>
      </c>
      <c r="E215" s="98"/>
      <c r="F215" s="7">
        <f t="shared" si="5"/>
        <v>0</v>
      </c>
    </row>
    <row r="216" spans="1:6" s="138" customFormat="1" ht="60" x14ac:dyDescent="0.25">
      <c r="A216" s="26" t="s">
        <v>109</v>
      </c>
      <c r="B216" s="2" t="s">
        <v>133</v>
      </c>
      <c r="C216" s="3" t="s">
        <v>55</v>
      </c>
      <c r="D216" s="274">
        <v>20</v>
      </c>
      <c r="E216" s="98"/>
      <c r="F216" s="8">
        <f t="shared" si="5"/>
        <v>0</v>
      </c>
    </row>
    <row r="217" spans="1:6" s="138" customFormat="1" ht="30" x14ac:dyDescent="0.25">
      <c r="A217" s="26" t="s">
        <v>162</v>
      </c>
      <c r="B217" s="2" t="s">
        <v>134</v>
      </c>
      <c r="C217" s="3" t="s">
        <v>43</v>
      </c>
      <c r="D217" s="274">
        <f>1.1*4*0.6*0.1*2</f>
        <v>0.52800000000000002</v>
      </c>
      <c r="E217" s="98"/>
      <c r="F217" s="8">
        <f t="shared" si="5"/>
        <v>0</v>
      </c>
    </row>
    <row r="218" spans="1:6" ht="30" x14ac:dyDescent="0.25">
      <c r="A218" s="4" t="s">
        <v>163</v>
      </c>
      <c r="B218" s="2" t="s">
        <v>136</v>
      </c>
      <c r="C218" s="3" t="s">
        <v>70</v>
      </c>
      <c r="D218" s="274">
        <v>40</v>
      </c>
      <c r="E218" s="98"/>
      <c r="F218" s="8">
        <f t="shared" si="5"/>
        <v>0</v>
      </c>
    </row>
    <row r="219" spans="1:6" ht="75" x14ac:dyDescent="0.25">
      <c r="A219" s="26" t="s">
        <v>164</v>
      </c>
      <c r="B219" s="2" t="s">
        <v>137</v>
      </c>
      <c r="C219" s="3" t="s">
        <v>70</v>
      </c>
      <c r="D219" s="274">
        <v>30</v>
      </c>
      <c r="E219" s="98"/>
      <c r="F219" s="8">
        <f t="shared" si="5"/>
        <v>0</v>
      </c>
    </row>
    <row r="220" spans="1:6" s="140" customFormat="1" ht="30" x14ac:dyDescent="0.25">
      <c r="A220" s="4" t="s">
        <v>111</v>
      </c>
      <c r="B220" s="5" t="s">
        <v>138</v>
      </c>
      <c r="C220" s="6" t="s">
        <v>55</v>
      </c>
      <c r="D220" s="274">
        <v>6</v>
      </c>
      <c r="E220" s="54"/>
      <c r="F220" s="9">
        <f t="shared" si="5"/>
        <v>0</v>
      </c>
    </row>
    <row r="221" spans="1:6" ht="30" x14ac:dyDescent="0.25">
      <c r="A221" s="26" t="s">
        <v>165</v>
      </c>
      <c r="B221" s="2" t="s">
        <v>112</v>
      </c>
      <c r="C221" s="3" t="s">
        <v>43</v>
      </c>
      <c r="D221" s="274">
        <f>4*2.9*0.1</f>
        <v>1.1599999999999999</v>
      </c>
      <c r="E221" s="98"/>
      <c r="F221" s="8">
        <f t="shared" si="5"/>
        <v>0</v>
      </c>
    </row>
    <row r="222" spans="1:6" s="161" customFormat="1" ht="15" x14ac:dyDescent="0.25">
      <c r="A222" s="26" t="s">
        <v>169</v>
      </c>
      <c r="B222" s="37" t="s">
        <v>139</v>
      </c>
      <c r="C222" s="38" t="s">
        <v>43</v>
      </c>
      <c r="D222" s="277">
        <v>10.8</v>
      </c>
      <c r="E222" s="55"/>
      <c r="F222" s="48">
        <f t="shared" si="5"/>
        <v>0</v>
      </c>
    </row>
    <row r="223" spans="1:6" ht="15" x14ac:dyDescent="0.25">
      <c r="A223" s="58"/>
      <c r="B223" s="59" t="s">
        <v>113</v>
      </c>
      <c r="C223" s="76"/>
      <c r="D223" s="337"/>
      <c r="E223" s="77"/>
      <c r="F223" s="78">
        <f>SUM(F179:F222)</f>
        <v>0</v>
      </c>
    </row>
    <row r="224" spans="1:6" s="138" customFormat="1" ht="18.75" x14ac:dyDescent="0.25">
      <c r="A224" s="64"/>
      <c r="B224" s="37" t="s">
        <v>140</v>
      </c>
      <c r="C224" s="66"/>
      <c r="D224" s="338"/>
      <c r="E224" s="66"/>
      <c r="F224" s="89"/>
    </row>
    <row r="225" spans="1:15" s="138" customFormat="1" ht="15" x14ac:dyDescent="0.25">
      <c r="A225" s="147">
        <v>57</v>
      </c>
      <c r="B225" s="148" t="s">
        <v>141</v>
      </c>
      <c r="C225" s="149" t="s">
        <v>50</v>
      </c>
      <c r="D225" s="280">
        <v>4.1500000000000004</v>
      </c>
      <c r="E225" s="149"/>
      <c r="F225" s="48">
        <f t="shared" ref="F225:F239" si="6">D225*E225</f>
        <v>0</v>
      </c>
      <c r="G225" s="157"/>
      <c r="H225" s="158"/>
      <c r="I225" s="158"/>
      <c r="J225" s="158"/>
      <c r="K225" s="158"/>
      <c r="L225" s="158"/>
      <c r="M225" s="158"/>
      <c r="N225" s="158"/>
      <c r="O225" s="158"/>
    </row>
    <row r="226" spans="1:15" s="138" customFormat="1" ht="30" x14ac:dyDescent="0.25">
      <c r="A226" s="147">
        <v>58</v>
      </c>
      <c r="B226" s="150" t="s">
        <v>142</v>
      </c>
      <c r="C226" s="151" t="s">
        <v>43</v>
      </c>
      <c r="D226" s="281">
        <v>3.01</v>
      </c>
      <c r="E226" s="152"/>
      <c r="F226" s="48">
        <f t="shared" si="6"/>
        <v>0</v>
      </c>
      <c r="G226" s="157"/>
      <c r="H226" s="158"/>
      <c r="I226" s="158"/>
      <c r="J226" s="158"/>
      <c r="K226" s="158"/>
      <c r="L226" s="158"/>
      <c r="M226" s="158"/>
      <c r="N226" s="158"/>
      <c r="O226" s="158"/>
    </row>
    <row r="227" spans="1:15" ht="30" x14ac:dyDescent="0.25">
      <c r="A227" s="147">
        <v>59</v>
      </c>
      <c r="B227" s="150" t="s">
        <v>143</v>
      </c>
      <c r="C227" s="151" t="s">
        <v>50</v>
      </c>
      <c r="D227" s="281">
        <v>2.54</v>
      </c>
      <c r="E227" s="151"/>
      <c r="F227" s="48">
        <f t="shared" si="6"/>
        <v>0</v>
      </c>
      <c r="G227" s="157"/>
      <c r="H227" s="158"/>
      <c r="I227" s="158"/>
      <c r="J227" s="158"/>
      <c r="K227" s="158"/>
      <c r="L227" s="158"/>
      <c r="M227" s="158"/>
      <c r="N227" s="158"/>
      <c r="O227" s="158"/>
    </row>
    <row r="228" spans="1:15" ht="30" x14ac:dyDescent="0.25">
      <c r="A228" s="147">
        <v>60</v>
      </c>
      <c r="B228" s="150" t="s">
        <v>144</v>
      </c>
      <c r="C228" s="151" t="s">
        <v>145</v>
      </c>
      <c r="D228" s="281">
        <v>1</v>
      </c>
      <c r="E228" s="152"/>
      <c r="F228" s="48">
        <f t="shared" si="6"/>
        <v>0</v>
      </c>
      <c r="G228" s="157"/>
      <c r="H228" s="158"/>
      <c r="I228" s="158"/>
      <c r="J228" s="158"/>
      <c r="K228" s="158"/>
      <c r="L228" s="158"/>
      <c r="M228" s="158"/>
      <c r="N228" s="158"/>
      <c r="O228" s="158"/>
    </row>
    <row r="229" spans="1:15" ht="45" x14ac:dyDescent="0.25">
      <c r="A229" s="147">
        <v>61</v>
      </c>
      <c r="B229" s="150" t="s">
        <v>146</v>
      </c>
      <c r="C229" s="151" t="s">
        <v>43</v>
      </c>
      <c r="D229" s="281">
        <v>0.2</v>
      </c>
      <c r="E229" s="152"/>
      <c r="F229" s="48">
        <f t="shared" si="6"/>
        <v>0</v>
      </c>
      <c r="G229" s="157"/>
      <c r="H229" s="158"/>
      <c r="I229" s="158"/>
      <c r="J229" s="158"/>
      <c r="K229" s="158"/>
      <c r="L229" s="158"/>
      <c r="M229" s="158"/>
      <c r="N229" s="158"/>
      <c r="O229" s="158"/>
    </row>
    <row r="230" spans="1:15" ht="30" x14ac:dyDescent="0.25">
      <c r="A230" s="147">
        <v>62</v>
      </c>
      <c r="B230" s="150" t="s">
        <v>147</v>
      </c>
      <c r="C230" s="151" t="s">
        <v>50</v>
      </c>
      <c r="D230" s="281">
        <v>2</v>
      </c>
      <c r="E230" s="151"/>
      <c r="F230" s="48">
        <f t="shared" si="6"/>
        <v>0</v>
      </c>
      <c r="G230" s="157"/>
      <c r="H230" s="158"/>
      <c r="I230" s="158"/>
      <c r="J230" s="158"/>
      <c r="K230" s="158"/>
      <c r="L230" s="158"/>
      <c r="M230" s="158"/>
      <c r="N230" s="158"/>
      <c r="O230" s="158"/>
    </row>
    <row r="231" spans="1:15" s="138" customFormat="1" ht="30" x14ac:dyDescent="0.25">
      <c r="A231" s="147">
        <v>63</v>
      </c>
      <c r="B231" s="150" t="s">
        <v>148</v>
      </c>
      <c r="C231" s="151" t="s">
        <v>50</v>
      </c>
      <c r="D231" s="281">
        <v>5.0199999999999996</v>
      </c>
      <c r="E231" s="151"/>
      <c r="F231" s="48">
        <f t="shared" si="6"/>
        <v>0</v>
      </c>
      <c r="G231" s="157"/>
      <c r="H231" s="158"/>
      <c r="I231" s="158"/>
      <c r="J231" s="158"/>
      <c r="K231" s="158"/>
      <c r="L231" s="158"/>
      <c r="M231" s="158"/>
      <c r="N231" s="158"/>
      <c r="O231" s="158"/>
    </row>
    <row r="232" spans="1:15" s="138" customFormat="1" ht="30" x14ac:dyDescent="0.25">
      <c r="A232" s="147">
        <v>64</v>
      </c>
      <c r="B232" s="150" t="s">
        <v>149</v>
      </c>
      <c r="C232" s="151" t="s">
        <v>70</v>
      </c>
      <c r="D232" s="281">
        <v>6</v>
      </c>
      <c r="E232" s="151"/>
      <c r="F232" s="48">
        <f t="shared" si="6"/>
        <v>0</v>
      </c>
      <c r="G232" s="157"/>
      <c r="H232" s="158"/>
      <c r="I232" s="158"/>
      <c r="J232" s="158"/>
      <c r="K232" s="158"/>
      <c r="L232" s="158"/>
      <c r="M232" s="158"/>
      <c r="N232" s="158"/>
      <c r="O232" s="158"/>
    </row>
    <row r="233" spans="1:15" s="138" customFormat="1" ht="30" x14ac:dyDescent="0.25">
      <c r="A233" s="147">
        <v>65</v>
      </c>
      <c r="B233" s="150" t="s">
        <v>150</v>
      </c>
      <c r="C233" s="151" t="s">
        <v>88</v>
      </c>
      <c r="D233" s="281">
        <v>1</v>
      </c>
      <c r="E233" s="151"/>
      <c r="F233" s="48">
        <f t="shared" si="6"/>
        <v>0</v>
      </c>
      <c r="G233" s="157"/>
      <c r="H233" s="158"/>
      <c r="I233" s="158"/>
      <c r="J233" s="158"/>
      <c r="K233" s="158"/>
      <c r="L233" s="158"/>
      <c r="M233" s="158"/>
      <c r="N233" s="158"/>
      <c r="O233" s="158"/>
    </row>
    <row r="234" spans="1:15" s="138" customFormat="1" ht="30" x14ac:dyDescent="0.25">
      <c r="A234" s="147">
        <v>66</v>
      </c>
      <c r="B234" s="150" t="s">
        <v>151</v>
      </c>
      <c r="C234" s="151" t="s">
        <v>88</v>
      </c>
      <c r="D234" s="281">
        <v>1</v>
      </c>
      <c r="E234" s="151"/>
      <c r="F234" s="48">
        <f t="shared" si="6"/>
        <v>0</v>
      </c>
      <c r="G234" s="157"/>
      <c r="H234" s="158"/>
      <c r="I234" s="158"/>
      <c r="J234" s="158"/>
      <c r="K234" s="158"/>
      <c r="L234" s="158"/>
      <c r="M234" s="158"/>
      <c r="N234" s="158"/>
      <c r="O234" s="158"/>
    </row>
    <row r="235" spans="1:15" s="138" customFormat="1" ht="15" x14ac:dyDescent="0.25">
      <c r="A235" s="147">
        <v>67</v>
      </c>
      <c r="B235" s="150" t="s">
        <v>152</v>
      </c>
      <c r="C235" s="151" t="s">
        <v>43</v>
      </c>
      <c r="D235" s="281">
        <v>3.93</v>
      </c>
      <c r="E235" s="151"/>
      <c r="F235" s="48">
        <f t="shared" si="6"/>
        <v>0</v>
      </c>
      <c r="G235" s="157"/>
      <c r="H235" s="158"/>
      <c r="I235" s="158"/>
      <c r="J235" s="158"/>
      <c r="K235" s="158"/>
      <c r="L235" s="158"/>
      <c r="M235" s="158"/>
      <c r="N235" s="158"/>
      <c r="O235" s="158"/>
    </row>
    <row r="236" spans="1:15" ht="15" x14ac:dyDescent="0.25">
      <c r="A236" s="147">
        <v>68</v>
      </c>
      <c r="B236" s="150" t="s">
        <v>153</v>
      </c>
      <c r="C236" s="151" t="s">
        <v>43</v>
      </c>
      <c r="D236" s="281">
        <v>3.93</v>
      </c>
      <c r="E236" s="151"/>
      <c r="F236" s="48">
        <f t="shared" si="6"/>
        <v>0</v>
      </c>
      <c r="G236" s="157"/>
      <c r="H236" s="158"/>
      <c r="I236" s="158"/>
      <c r="J236" s="158"/>
      <c r="K236" s="158"/>
      <c r="L236" s="158"/>
      <c r="M236" s="158"/>
      <c r="N236" s="158"/>
      <c r="O236" s="158"/>
    </row>
    <row r="237" spans="1:15" s="138" customFormat="1" ht="45" x14ac:dyDescent="0.25">
      <c r="A237" s="147">
        <v>69</v>
      </c>
      <c r="B237" s="150" t="s">
        <v>154</v>
      </c>
      <c r="C237" s="151" t="s">
        <v>43</v>
      </c>
      <c r="D237" s="281">
        <v>1.22</v>
      </c>
      <c r="E237" s="152"/>
      <c r="F237" s="48">
        <f t="shared" si="6"/>
        <v>0</v>
      </c>
      <c r="G237" s="157"/>
      <c r="H237" s="158"/>
      <c r="I237" s="158"/>
      <c r="J237" s="158"/>
      <c r="K237" s="158"/>
      <c r="L237" s="158"/>
      <c r="M237" s="158"/>
      <c r="N237" s="158"/>
      <c r="O237" s="158"/>
    </row>
    <row r="238" spans="1:15" s="138" customFormat="1" ht="30" x14ac:dyDescent="0.25">
      <c r="A238" s="147">
        <v>70</v>
      </c>
      <c r="B238" s="150" t="s">
        <v>143</v>
      </c>
      <c r="C238" s="151" t="s">
        <v>50</v>
      </c>
      <c r="D238" s="281">
        <v>1.22</v>
      </c>
      <c r="E238" s="151"/>
      <c r="F238" s="48">
        <f t="shared" si="6"/>
        <v>0</v>
      </c>
      <c r="G238" s="157"/>
      <c r="H238" s="158"/>
      <c r="I238" s="158"/>
      <c r="J238" s="158"/>
      <c r="K238" s="158"/>
      <c r="L238" s="158"/>
      <c r="M238" s="158"/>
      <c r="N238" s="158"/>
      <c r="O238" s="158"/>
    </row>
    <row r="239" spans="1:15" ht="60" x14ac:dyDescent="0.25">
      <c r="A239" s="147">
        <v>71</v>
      </c>
      <c r="B239" s="153" t="s">
        <v>155</v>
      </c>
      <c r="C239" s="154" t="s">
        <v>50</v>
      </c>
      <c r="D239" s="282">
        <v>130</v>
      </c>
      <c r="E239" s="154"/>
      <c r="F239" s="48">
        <f t="shared" si="6"/>
        <v>0</v>
      </c>
      <c r="G239" s="157"/>
      <c r="H239" s="158"/>
      <c r="I239" s="158"/>
      <c r="J239" s="158"/>
      <c r="K239" s="158"/>
      <c r="L239" s="158"/>
      <c r="M239" s="158"/>
      <c r="N239" s="158"/>
      <c r="O239" s="158"/>
    </row>
    <row r="240" spans="1:15" ht="15" x14ac:dyDescent="0.25">
      <c r="A240" s="79"/>
      <c r="B240" s="80" t="s">
        <v>170</v>
      </c>
      <c r="C240" s="81"/>
      <c r="D240" s="339"/>
      <c r="E240" s="82"/>
      <c r="F240" s="83">
        <f>SUM(F225:F239)</f>
        <v>0</v>
      </c>
    </row>
    <row r="241" spans="1:6" ht="15" x14ac:dyDescent="0.25">
      <c r="A241" s="79"/>
      <c r="B241" s="80" t="s">
        <v>171</v>
      </c>
      <c r="C241" s="81"/>
      <c r="D241" s="339"/>
      <c r="E241" s="82"/>
      <c r="F241" s="83">
        <f>F240*2</f>
        <v>0</v>
      </c>
    </row>
    <row r="242" spans="1:6" ht="39" x14ac:dyDescent="0.25">
      <c r="A242" s="143"/>
      <c r="B242" s="143" t="s">
        <v>172</v>
      </c>
      <c r="C242" s="144"/>
      <c r="D242" s="340"/>
      <c r="E242" s="144"/>
      <c r="F242" s="84">
        <f>SUM(F241+F223)</f>
        <v>0</v>
      </c>
    </row>
    <row r="243" spans="1:6" ht="38.1" customHeight="1" x14ac:dyDescent="0.25">
      <c r="A243" s="132"/>
      <c r="B243" s="313" t="s">
        <v>173</v>
      </c>
      <c r="C243" s="314"/>
      <c r="D243" s="326"/>
      <c r="E243" s="315"/>
      <c r="F243" s="85">
        <f>F242+F177+F110+F45</f>
        <v>0</v>
      </c>
    </row>
  </sheetData>
  <sheetProtection algorithmName="SHA-512" hashValue="iQatFqhDXsrLMocS/uf4yDqGXBuWIzWZRHKkBHss17jdlG9v7aWXYeQGSH+KSNKyJX/+CTYiLiFokNP5ntPhUg==" saltValue="qx3oFfV2hnsylPq3bgHVrg==" spinCount="100000" sheet="1" objects="1" scenarios="1"/>
  <mergeCells count="6">
    <mergeCell ref="E3:F3"/>
    <mergeCell ref="B1:C1"/>
    <mergeCell ref="A111:B111"/>
    <mergeCell ref="A178:B178"/>
    <mergeCell ref="A3:B3"/>
    <mergeCell ref="A46:B46"/>
  </mergeCells>
  <phoneticPr fontId="16" type="noConversion"/>
  <pageMargins left="0.46" right="0.34" top="0.47" bottom="0.38" header="0.3" footer="0.19"/>
  <pageSetup scale="85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8"/>
  <sheetViews>
    <sheetView topLeftCell="A82" zoomScale="90" zoomScaleNormal="90" workbookViewId="0">
      <selection activeCell="E86" sqref="E86"/>
    </sheetView>
  </sheetViews>
  <sheetFormatPr defaultRowHeight="50.45" customHeight="1" x14ac:dyDescent="0.25"/>
  <cols>
    <col min="1" max="1" width="3.85546875" style="131" customWidth="1"/>
    <col min="2" max="2" width="43.42578125" style="132" customWidth="1"/>
    <col min="3" max="3" width="16.85546875" style="253" customWidth="1"/>
    <col min="4" max="4" width="17.140625" style="286" customWidth="1"/>
    <col min="5" max="5" width="15.85546875" style="288" customWidth="1"/>
    <col min="6" max="6" width="17.42578125" style="288" bestFit="1" customWidth="1"/>
    <col min="7" max="7" width="65.85546875" style="132" customWidth="1"/>
    <col min="8" max="8" width="10" style="288" customWidth="1"/>
    <col min="9" max="9" width="17.5703125" style="132" customWidth="1"/>
    <col min="10" max="10" width="16" style="132" customWidth="1"/>
    <col min="11" max="16384" width="9.140625" style="132"/>
  </cols>
  <sheetData>
    <row r="1" spans="1:8" ht="45" x14ac:dyDescent="0.25">
      <c r="A1" s="155"/>
      <c r="B1" s="316" t="s">
        <v>174</v>
      </c>
      <c r="C1" s="316"/>
      <c r="D1" s="318"/>
      <c r="E1" s="316"/>
      <c r="F1" s="316"/>
    </row>
    <row r="2" spans="1:8" s="133" customFormat="1" ht="21" customHeight="1" x14ac:dyDescent="0.35">
      <c r="B2" s="354" t="s">
        <v>175</v>
      </c>
      <c r="C2" s="354"/>
      <c r="D2" s="319"/>
      <c r="E2" s="317"/>
      <c r="F2" s="317"/>
      <c r="H2" s="289"/>
    </row>
    <row r="3" spans="1:8" s="133" customFormat="1" ht="21" customHeight="1" x14ac:dyDescent="0.35">
      <c r="A3" s="290"/>
      <c r="B3" s="291" t="s">
        <v>176</v>
      </c>
      <c r="C3" s="164"/>
      <c r="D3" s="320"/>
      <c r="E3" s="292"/>
      <c r="F3" s="292"/>
      <c r="H3" s="289"/>
    </row>
    <row r="4" spans="1:8" s="138" customFormat="1" ht="28.5" x14ac:dyDescent="0.25">
      <c r="A4" s="134" t="s">
        <v>18</v>
      </c>
      <c r="B4" s="135" t="s">
        <v>19</v>
      </c>
      <c r="C4" s="293" t="s">
        <v>20</v>
      </c>
      <c r="D4" s="321" t="s">
        <v>21</v>
      </c>
      <c r="E4" s="294" t="s">
        <v>177</v>
      </c>
      <c r="F4" s="294" t="s">
        <v>23</v>
      </c>
      <c r="H4" s="295"/>
    </row>
    <row r="5" spans="1:8" ht="15" x14ac:dyDescent="0.25">
      <c r="A5" s="26" t="s">
        <v>24</v>
      </c>
      <c r="B5" s="56" t="s">
        <v>25</v>
      </c>
      <c r="C5" s="63" t="s">
        <v>26</v>
      </c>
      <c r="D5" s="274">
        <v>1</v>
      </c>
      <c r="E5" s="57"/>
      <c r="F5" s="9">
        <f t="shared" ref="F5:F43" si="0">D5*E5</f>
        <v>0</v>
      </c>
    </row>
    <row r="6" spans="1:8" s="138" customFormat="1" ht="18" x14ac:dyDescent="0.25">
      <c r="A6" s="26" t="s">
        <v>27</v>
      </c>
      <c r="B6" s="56" t="s">
        <v>28</v>
      </c>
      <c r="C6" s="63" t="s">
        <v>29</v>
      </c>
      <c r="D6" s="274">
        <f>8*6.9</f>
        <v>55.2</v>
      </c>
      <c r="E6" s="57"/>
      <c r="F6" s="9">
        <f t="shared" si="0"/>
        <v>0</v>
      </c>
      <c r="H6" s="295"/>
    </row>
    <row r="7" spans="1:8" s="138" customFormat="1" ht="18" x14ac:dyDescent="0.25">
      <c r="A7" s="26" t="s">
        <v>30</v>
      </c>
      <c r="B7" s="56" t="s">
        <v>31</v>
      </c>
      <c r="C7" s="63" t="s">
        <v>32</v>
      </c>
      <c r="D7" s="274">
        <f>D6*0.5</f>
        <v>27.6</v>
      </c>
      <c r="E7" s="57"/>
      <c r="F7" s="9">
        <f t="shared" si="0"/>
        <v>0</v>
      </c>
      <c r="H7" s="295"/>
    </row>
    <row r="8" spans="1:8" s="138" customFormat="1" ht="45" x14ac:dyDescent="0.25">
      <c r="A8" s="26" t="s">
        <v>33</v>
      </c>
      <c r="B8" s="56" t="s">
        <v>34</v>
      </c>
      <c r="C8" s="63" t="s">
        <v>32</v>
      </c>
      <c r="D8" s="274">
        <f>7*5.9*3</f>
        <v>123.9</v>
      </c>
      <c r="E8" s="57"/>
      <c r="F8" s="9">
        <f t="shared" si="0"/>
        <v>0</v>
      </c>
      <c r="H8" s="295"/>
    </row>
    <row r="9" spans="1:8" ht="18" x14ac:dyDescent="0.25">
      <c r="A9" s="26" t="s">
        <v>35</v>
      </c>
      <c r="B9" s="5" t="s">
        <v>36</v>
      </c>
      <c r="C9" s="63" t="s">
        <v>32</v>
      </c>
      <c r="D9" s="275">
        <f>(4+2.9)*2*1.5*3</f>
        <v>62.100000000000009</v>
      </c>
      <c r="E9" s="9"/>
      <c r="F9" s="9">
        <f t="shared" si="0"/>
        <v>0</v>
      </c>
    </row>
    <row r="10" spans="1:8" s="138" customFormat="1" ht="18" x14ac:dyDescent="0.25">
      <c r="A10" s="26" t="s">
        <v>37</v>
      </c>
      <c r="B10" s="5" t="s">
        <v>38</v>
      </c>
      <c r="C10" s="63" t="s">
        <v>32</v>
      </c>
      <c r="D10" s="274">
        <f>D7+D8-D9</f>
        <v>89.399999999999991</v>
      </c>
      <c r="E10" s="9"/>
      <c r="F10" s="9">
        <f t="shared" si="0"/>
        <v>0</v>
      </c>
      <c r="H10" s="295"/>
    </row>
    <row r="11" spans="1:8" s="138" customFormat="1" ht="45" x14ac:dyDescent="0.25">
      <c r="A11" s="26" t="s">
        <v>39</v>
      </c>
      <c r="B11" s="5" t="s">
        <v>40</v>
      </c>
      <c r="C11" s="63" t="s">
        <v>32</v>
      </c>
      <c r="D11" s="274">
        <f>(3.6+2.5)*2*0.4*0.05</f>
        <v>0.24399999999999999</v>
      </c>
      <c r="E11" s="9"/>
      <c r="F11" s="9">
        <f t="shared" si="0"/>
        <v>0</v>
      </c>
      <c r="H11" s="295"/>
    </row>
    <row r="12" spans="1:8" s="138" customFormat="1" ht="45" x14ac:dyDescent="0.25">
      <c r="A12" s="26" t="s">
        <v>41</v>
      </c>
      <c r="B12" s="5" t="s">
        <v>42</v>
      </c>
      <c r="C12" s="53" t="s">
        <v>43</v>
      </c>
      <c r="D12" s="274">
        <f>(3.6+2.5)*2*0.4*3.6</f>
        <v>17.568000000000001</v>
      </c>
      <c r="E12" s="9"/>
      <c r="F12" s="9">
        <f t="shared" si="0"/>
        <v>0</v>
      </c>
      <c r="H12" s="295"/>
    </row>
    <row r="13" spans="1:8" s="138" customFormat="1" ht="15" x14ac:dyDescent="0.25">
      <c r="A13" s="26" t="s">
        <v>44</v>
      </c>
      <c r="B13" s="5" t="s">
        <v>45</v>
      </c>
      <c r="C13" s="53" t="s">
        <v>43</v>
      </c>
      <c r="D13" s="274">
        <f>(3.6+2.5)*2*0.4*0.05</f>
        <v>0.24399999999999999</v>
      </c>
      <c r="E13" s="9"/>
      <c r="F13" s="9">
        <f t="shared" si="0"/>
        <v>0</v>
      </c>
      <c r="H13" s="295"/>
    </row>
    <row r="14" spans="1:8" ht="15" x14ac:dyDescent="0.25">
      <c r="A14" s="26" t="s">
        <v>46</v>
      </c>
      <c r="B14" s="5" t="s">
        <v>47</v>
      </c>
      <c r="C14" s="53" t="s">
        <v>43</v>
      </c>
      <c r="D14" s="274">
        <f>(3.6+2.5)*2*0.25*0.2*3</f>
        <v>1.83</v>
      </c>
      <c r="E14" s="9"/>
      <c r="F14" s="9">
        <f t="shared" si="0"/>
        <v>0</v>
      </c>
    </row>
    <row r="15" spans="1:8" s="138" customFormat="1" ht="30" x14ac:dyDescent="0.25">
      <c r="A15" s="26" t="s">
        <v>48</v>
      </c>
      <c r="B15" s="5" t="s">
        <v>49</v>
      </c>
      <c r="C15" s="53" t="s">
        <v>50</v>
      </c>
      <c r="D15" s="274">
        <f>(3.2+2.1)*2*3</f>
        <v>31.800000000000004</v>
      </c>
      <c r="E15" s="9"/>
      <c r="F15" s="9">
        <f t="shared" si="0"/>
        <v>0</v>
      </c>
      <c r="H15" s="295"/>
    </row>
    <row r="16" spans="1:8" ht="30" x14ac:dyDescent="0.25">
      <c r="A16" s="26" t="s">
        <v>51</v>
      </c>
      <c r="B16" s="5" t="s">
        <v>52</v>
      </c>
      <c r="C16" s="53" t="s">
        <v>43</v>
      </c>
      <c r="D16" s="274">
        <f>3.2*2.1*0.3</f>
        <v>2.016</v>
      </c>
      <c r="E16" s="9"/>
      <c r="F16" s="9">
        <f t="shared" si="0"/>
        <v>0</v>
      </c>
    </row>
    <row r="17" spans="1:8" s="138" customFormat="1" ht="45" x14ac:dyDescent="0.25">
      <c r="A17" s="26" t="s">
        <v>53</v>
      </c>
      <c r="B17" s="5" t="s">
        <v>54</v>
      </c>
      <c r="C17" s="53" t="s">
        <v>55</v>
      </c>
      <c r="D17" s="274">
        <v>1</v>
      </c>
      <c r="E17" s="9"/>
      <c r="F17" s="9">
        <f t="shared" si="0"/>
        <v>0</v>
      </c>
      <c r="H17" s="295"/>
    </row>
    <row r="18" spans="1:8" s="138" customFormat="1" ht="30" x14ac:dyDescent="0.25">
      <c r="A18" s="26" t="s">
        <v>56</v>
      </c>
      <c r="B18" s="5" t="s">
        <v>57</v>
      </c>
      <c r="C18" s="53" t="s">
        <v>43</v>
      </c>
      <c r="D18" s="274">
        <f>4.6*3.6*0.15-D19</f>
        <v>2.3579999999999997</v>
      </c>
      <c r="E18" s="9"/>
      <c r="F18" s="9">
        <f t="shared" si="0"/>
        <v>0</v>
      </c>
      <c r="H18" s="295"/>
    </row>
    <row r="19" spans="1:8" s="138" customFormat="1" ht="30" x14ac:dyDescent="0.25">
      <c r="A19" s="26" t="s">
        <v>58</v>
      </c>
      <c r="B19" s="5" t="s">
        <v>59</v>
      </c>
      <c r="C19" s="53" t="s">
        <v>50</v>
      </c>
      <c r="D19" s="274">
        <f>0.7*0.6*0.15*2</f>
        <v>0.126</v>
      </c>
      <c r="E19" s="9"/>
      <c r="F19" s="9">
        <f t="shared" si="0"/>
        <v>0</v>
      </c>
      <c r="H19" s="295"/>
    </row>
    <row r="20" spans="1:8" ht="15" x14ac:dyDescent="0.25">
      <c r="A20" s="26" t="s">
        <v>60</v>
      </c>
      <c r="B20" s="5" t="s">
        <v>61</v>
      </c>
      <c r="C20" s="53" t="s">
        <v>62</v>
      </c>
      <c r="D20" s="274">
        <f>2.4*2+2.3*2-1.2</f>
        <v>8.1999999999999993</v>
      </c>
      <c r="E20" s="9"/>
      <c r="F20" s="9">
        <f t="shared" si="0"/>
        <v>0</v>
      </c>
    </row>
    <row r="21" spans="1:8" s="138" customFormat="1" ht="30" x14ac:dyDescent="0.25">
      <c r="A21" s="26" t="s">
        <v>63</v>
      </c>
      <c r="B21" s="5" t="s">
        <v>64</v>
      </c>
      <c r="C21" s="53" t="s">
        <v>50</v>
      </c>
      <c r="D21" s="276">
        <f>9.4*3-1.2*2.1</f>
        <v>25.680000000000003</v>
      </c>
      <c r="E21" s="9"/>
      <c r="F21" s="9">
        <f t="shared" si="0"/>
        <v>0</v>
      </c>
      <c r="H21" s="295"/>
    </row>
    <row r="22" spans="1:8" s="138" customFormat="1" ht="15" x14ac:dyDescent="0.25">
      <c r="A22" s="26" t="s">
        <v>65</v>
      </c>
      <c r="B22" s="5" t="s">
        <v>66</v>
      </c>
      <c r="C22" s="53" t="s">
        <v>67</v>
      </c>
      <c r="D22" s="274">
        <v>1</v>
      </c>
      <c r="E22" s="9"/>
      <c r="F22" s="9">
        <f t="shared" si="0"/>
        <v>0</v>
      </c>
      <c r="H22" s="295"/>
    </row>
    <row r="23" spans="1:8" s="138" customFormat="1" ht="15" x14ac:dyDescent="0.25">
      <c r="A23" s="26" t="s">
        <v>68</v>
      </c>
      <c r="B23" s="5" t="s">
        <v>69</v>
      </c>
      <c r="C23" s="53" t="s">
        <v>70</v>
      </c>
      <c r="D23" s="276">
        <f>20.7</f>
        <v>20.7</v>
      </c>
      <c r="E23" s="9"/>
      <c r="F23" s="9">
        <f t="shared" si="0"/>
        <v>0</v>
      </c>
      <c r="H23" s="295"/>
    </row>
    <row r="24" spans="1:8" ht="45" x14ac:dyDescent="0.25">
      <c r="A24" s="26" t="s">
        <v>71</v>
      </c>
      <c r="B24" s="5" t="s">
        <v>72</v>
      </c>
      <c r="C24" s="53" t="s">
        <v>50</v>
      </c>
      <c r="D24" s="274">
        <f>3.3*3.6*1.15</f>
        <v>13.661999999999997</v>
      </c>
      <c r="E24" s="9"/>
      <c r="F24" s="9">
        <f t="shared" si="0"/>
        <v>0</v>
      </c>
    </row>
    <row r="25" spans="1:8" s="138" customFormat="1" ht="15" x14ac:dyDescent="0.25">
      <c r="A25" s="26" t="s">
        <v>73</v>
      </c>
      <c r="B25" s="5" t="s">
        <v>74</v>
      </c>
      <c r="C25" s="53" t="s">
        <v>70</v>
      </c>
      <c r="D25" s="274">
        <v>3.3</v>
      </c>
      <c r="E25" s="9"/>
      <c r="F25" s="9">
        <f t="shared" si="0"/>
        <v>0</v>
      </c>
      <c r="H25" s="295"/>
    </row>
    <row r="26" spans="1:8" s="139" customFormat="1" ht="15" x14ac:dyDescent="0.25">
      <c r="A26" s="26" t="s">
        <v>75</v>
      </c>
      <c r="B26" s="5" t="s">
        <v>76</v>
      </c>
      <c r="C26" s="53" t="s">
        <v>70</v>
      </c>
      <c r="D26" s="274">
        <f>3.3+3.6*2</f>
        <v>10.5</v>
      </c>
      <c r="E26" s="9"/>
      <c r="F26" s="9">
        <f t="shared" si="0"/>
        <v>0</v>
      </c>
      <c r="H26" s="296"/>
    </row>
    <row r="27" spans="1:8" ht="45" x14ac:dyDescent="0.25">
      <c r="A27" s="26" t="s">
        <v>77</v>
      </c>
      <c r="B27" s="5" t="s">
        <v>78</v>
      </c>
      <c r="C27" s="53" t="s">
        <v>79</v>
      </c>
      <c r="D27" s="27">
        <v>1</v>
      </c>
      <c r="E27" s="9"/>
      <c r="F27" s="9">
        <f t="shared" si="0"/>
        <v>0</v>
      </c>
    </row>
    <row r="28" spans="1:8" ht="45" x14ac:dyDescent="0.25">
      <c r="A28" s="26" t="s">
        <v>80</v>
      </c>
      <c r="B28" s="5" t="s">
        <v>81</v>
      </c>
      <c r="C28" s="53" t="s">
        <v>50</v>
      </c>
      <c r="D28" s="274">
        <f>(2.2+2.1)*2*3-1.2*2.1</f>
        <v>23.280000000000005</v>
      </c>
      <c r="E28" s="9"/>
      <c r="F28" s="9">
        <f t="shared" si="0"/>
        <v>0</v>
      </c>
    </row>
    <row r="29" spans="1:8" ht="30" x14ac:dyDescent="0.25">
      <c r="A29" s="26" t="s">
        <v>82</v>
      </c>
      <c r="B29" s="5" t="s">
        <v>83</v>
      </c>
      <c r="C29" s="53" t="s">
        <v>50</v>
      </c>
      <c r="D29" s="274">
        <f>(2.6+2.5)*2*3-1.2*2.1</f>
        <v>28.08</v>
      </c>
      <c r="E29" s="9"/>
      <c r="F29" s="9">
        <f t="shared" si="0"/>
        <v>0</v>
      </c>
    </row>
    <row r="30" spans="1:8" s="139" customFormat="1" ht="30" x14ac:dyDescent="0.25">
      <c r="A30" s="26" t="s">
        <v>84</v>
      </c>
      <c r="B30" s="5" t="s">
        <v>85</v>
      </c>
      <c r="C30" s="53" t="s">
        <v>26</v>
      </c>
      <c r="D30" s="274">
        <v>1</v>
      </c>
      <c r="E30" s="9"/>
      <c r="F30" s="9">
        <f t="shared" si="0"/>
        <v>0</v>
      </c>
      <c r="H30" s="296"/>
    </row>
    <row r="31" spans="1:8" s="139" customFormat="1" ht="45" x14ac:dyDescent="0.25">
      <c r="A31" s="26" t="s">
        <v>86</v>
      </c>
      <c r="B31" s="5" t="s">
        <v>87</v>
      </c>
      <c r="C31" s="53" t="s">
        <v>88</v>
      </c>
      <c r="D31" s="274">
        <v>1</v>
      </c>
      <c r="E31" s="9"/>
      <c r="F31" s="9">
        <f>D31*E31</f>
        <v>0</v>
      </c>
      <c r="H31" s="296"/>
    </row>
    <row r="32" spans="1:8" s="142" customFormat="1" ht="15" x14ac:dyDescent="0.25">
      <c r="A32" s="26" t="s">
        <v>89</v>
      </c>
      <c r="B32" s="5" t="s">
        <v>90</v>
      </c>
      <c r="C32" s="53" t="s">
        <v>70</v>
      </c>
      <c r="D32" s="274">
        <f>(2.2+2.1)*2-1.2</f>
        <v>7.4000000000000012</v>
      </c>
      <c r="E32" s="9"/>
      <c r="F32" s="9">
        <f t="shared" si="0"/>
        <v>0</v>
      </c>
      <c r="H32" s="297"/>
    </row>
    <row r="33" spans="1:8" ht="30" x14ac:dyDescent="0.25">
      <c r="A33" s="26" t="s">
        <v>91</v>
      </c>
      <c r="B33" s="5" t="s">
        <v>92</v>
      </c>
      <c r="C33" s="53" t="s">
        <v>43</v>
      </c>
      <c r="D33" s="274">
        <f>3.6*3.3*0.05</f>
        <v>0.59399999999999997</v>
      </c>
      <c r="E33" s="9"/>
      <c r="F33" s="9">
        <f t="shared" si="0"/>
        <v>0</v>
      </c>
    </row>
    <row r="34" spans="1:8" s="139" customFormat="1" ht="15" x14ac:dyDescent="0.25">
      <c r="A34" s="26" t="s">
        <v>93</v>
      </c>
      <c r="B34" s="5" t="s">
        <v>94</v>
      </c>
      <c r="C34" s="53" t="s">
        <v>50</v>
      </c>
      <c r="D34" s="274">
        <f>2.6*2.5</f>
        <v>6.5</v>
      </c>
      <c r="E34" s="9"/>
      <c r="F34" s="9">
        <f t="shared" si="0"/>
        <v>0</v>
      </c>
      <c r="H34" s="296"/>
    </row>
    <row r="35" spans="1:8" ht="15" x14ac:dyDescent="0.25">
      <c r="A35" s="26" t="s">
        <v>95</v>
      </c>
      <c r="B35" s="5" t="s">
        <v>96</v>
      </c>
      <c r="C35" s="53" t="s">
        <v>50</v>
      </c>
      <c r="D35" s="274">
        <f>3.5*3.3-D34</f>
        <v>5.0499999999999989</v>
      </c>
      <c r="E35" s="9"/>
      <c r="F35" s="9">
        <f t="shared" si="0"/>
        <v>0</v>
      </c>
    </row>
    <row r="36" spans="1:8" s="140" customFormat="1" ht="45" x14ac:dyDescent="0.25">
      <c r="A36" s="26" t="s">
        <v>97</v>
      </c>
      <c r="B36" s="5" t="s">
        <v>98</v>
      </c>
      <c r="C36" s="53" t="s">
        <v>88</v>
      </c>
      <c r="D36" s="274">
        <v>1</v>
      </c>
      <c r="E36" s="9"/>
      <c r="F36" s="9">
        <f t="shared" si="0"/>
        <v>0</v>
      </c>
      <c r="H36" s="298"/>
    </row>
    <row r="37" spans="1:8" s="140" customFormat="1" ht="30" x14ac:dyDescent="0.25">
      <c r="A37" s="26" t="s">
        <v>99</v>
      </c>
      <c r="B37" s="5" t="s">
        <v>100</v>
      </c>
      <c r="C37" s="53" t="s">
        <v>88</v>
      </c>
      <c r="D37" s="274">
        <v>1</v>
      </c>
      <c r="E37" s="9"/>
      <c r="F37" s="9">
        <f t="shared" si="0"/>
        <v>0</v>
      </c>
      <c r="H37" s="298"/>
    </row>
    <row r="38" spans="1:8" s="140" customFormat="1" ht="15" x14ac:dyDescent="0.25">
      <c r="A38" s="26" t="s">
        <v>101</v>
      </c>
      <c r="B38" s="5" t="s">
        <v>102</v>
      </c>
      <c r="C38" s="53" t="s">
        <v>88</v>
      </c>
      <c r="D38" s="274">
        <v>1</v>
      </c>
      <c r="E38" s="9"/>
      <c r="F38" s="9">
        <f t="shared" si="0"/>
        <v>0</v>
      </c>
      <c r="H38" s="298"/>
    </row>
    <row r="39" spans="1:8" s="140" customFormat="1" ht="30" x14ac:dyDescent="0.25">
      <c r="A39" s="26" t="s">
        <v>103</v>
      </c>
      <c r="B39" s="5" t="s">
        <v>104</v>
      </c>
      <c r="C39" s="53" t="s">
        <v>50</v>
      </c>
      <c r="D39" s="274">
        <v>0</v>
      </c>
      <c r="E39" s="9"/>
      <c r="F39" s="9">
        <f t="shared" si="0"/>
        <v>0</v>
      </c>
      <c r="H39" s="298"/>
    </row>
    <row r="40" spans="1:8" s="140" customFormat="1" ht="15" x14ac:dyDescent="0.25">
      <c r="A40" s="26" t="s">
        <v>105</v>
      </c>
      <c r="B40" s="5" t="s">
        <v>106</v>
      </c>
      <c r="C40" s="53" t="s">
        <v>26</v>
      </c>
      <c r="D40" s="274">
        <v>1</v>
      </c>
      <c r="E40" s="9"/>
      <c r="F40" s="51">
        <f t="shared" si="0"/>
        <v>0</v>
      </c>
      <c r="H40" s="298"/>
    </row>
    <row r="41" spans="1:8" s="140" customFormat="1" ht="30" x14ac:dyDescent="0.25">
      <c r="A41" s="26" t="s">
        <v>107</v>
      </c>
      <c r="B41" s="5" t="s">
        <v>108</v>
      </c>
      <c r="C41" s="53" t="s">
        <v>50</v>
      </c>
      <c r="D41" s="274">
        <f>D28</f>
        <v>23.280000000000005</v>
      </c>
      <c r="E41" s="9"/>
      <c r="F41" s="51">
        <f t="shared" si="0"/>
        <v>0</v>
      </c>
      <c r="H41" s="298"/>
    </row>
    <row r="42" spans="1:8" s="140" customFormat="1" ht="60" x14ac:dyDescent="0.25">
      <c r="A42" s="26" t="s">
        <v>109</v>
      </c>
      <c r="B42" s="5" t="s">
        <v>110</v>
      </c>
      <c r="C42" s="53" t="s">
        <v>88</v>
      </c>
      <c r="D42" s="274">
        <v>1</v>
      </c>
      <c r="E42" s="9"/>
      <c r="F42" s="9">
        <f t="shared" si="0"/>
        <v>0</v>
      </c>
      <c r="H42" s="298"/>
    </row>
    <row r="43" spans="1:8" s="140" customFormat="1" ht="30" x14ac:dyDescent="0.25">
      <c r="A43" s="26" t="s">
        <v>111</v>
      </c>
      <c r="B43" s="5" t="s">
        <v>112</v>
      </c>
      <c r="C43" s="53" t="s">
        <v>43</v>
      </c>
      <c r="D43" s="274">
        <f>4*2.9*0.1</f>
        <v>1.1599999999999999</v>
      </c>
      <c r="E43" s="9"/>
      <c r="F43" s="9">
        <f t="shared" si="0"/>
        <v>0</v>
      </c>
      <c r="H43" s="298"/>
    </row>
    <row r="44" spans="1:8" ht="15" x14ac:dyDescent="0.25">
      <c r="A44" s="58"/>
      <c r="B44" s="59" t="s">
        <v>113</v>
      </c>
      <c r="C44" s="60"/>
      <c r="D44" s="278"/>
      <c r="E44" s="61"/>
      <c r="F44" s="61">
        <f>SUM(F5:F43)</f>
        <v>0</v>
      </c>
    </row>
    <row r="45" spans="1:8" ht="39" x14ac:dyDescent="0.25">
      <c r="A45" s="155"/>
      <c r="B45" s="143" t="s">
        <v>114</v>
      </c>
      <c r="C45" s="144"/>
      <c r="D45" s="322"/>
      <c r="E45" s="299"/>
      <c r="F45" s="62">
        <f>SUM(+F44)</f>
        <v>0</v>
      </c>
    </row>
    <row r="46" spans="1:8" s="138" customFormat="1" ht="14.45" customHeight="1" x14ac:dyDescent="0.25">
      <c r="A46" s="300"/>
      <c r="B46" s="301" t="s">
        <v>178</v>
      </c>
      <c r="C46" s="302"/>
      <c r="D46" s="323"/>
      <c r="E46" s="303"/>
      <c r="F46" s="304"/>
      <c r="H46" s="295"/>
    </row>
    <row r="47" spans="1:8" ht="15" x14ac:dyDescent="0.25">
      <c r="A47" s="26" t="s">
        <v>24</v>
      </c>
      <c r="B47" s="56" t="s">
        <v>25</v>
      </c>
      <c r="C47" s="63" t="s">
        <v>26</v>
      </c>
      <c r="D47" s="274">
        <v>1</v>
      </c>
      <c r="E47" s="57"/>
      <c r="F47" s="9">
        <f t="shared" ref="F47:F93" si="1">D47*E47</f>
        <v>0</v>
      </c>
    </row>
    <row r="48" spans="1:8" s="138" customFormat="1" ht="18" x14ac:dyDescent="0.25">
      <c r="A48" s="26" t="s">
        <v>27</v>
      </c>
      <c r="B48" s="56" t="s">
        <v>28</v>
      </c>
      <c r="C48" s="63" t="s">
        <v>29</v>
      </c>
      <c r="D48" s="274">
        <f>9.3*9.3</f>
        <v>86.490000000000009</v>
      </c>
      <c r="E48" s="57"/>
      <c r="F48" s="9">
        <f t="shared" si="1"/>
        <v>0</v>
      </c>
      <c r="H48" s="295"/>
    </row>
    <row r="49" spans="1:8" s="138" customFormat="1" ht="18" x14ac:dyDescent="0.25">
      <c r="A49" s="26" t="s">
        <v>30</v>
      </c>
      <c r="B49" s="56" t="s">
        <v>31</v>
      </c>
      <c r="C49" s="63" t="s">
        <v>32</v>
      </c>
      <c r="D49" s="274">
        <f>D48*0.5</f>
        <v>43.245000000000005</v>
      </c>
      <c r="E49" s="57"/>
      <c r="F49" s="9">
        <f t="shared" si="1"/>
        <v>0</v>
      </c>
      <c r="H49" s="295"/>
    </row>
    <row r="50" spans="1:8" s="138" customFormat="1" ht="45" x14ac:dyDescent="0.25">
      <c r="A50" s="26" t="s">
        <v>33</v>
      </c>
      <c r="B50" s="56" t="s">
        <v>34</v>
      </c>
      <c r="C50" s="63" t="s">
        <v>32</v>
      </c>
      <c r="D50" s="274">
        <f>12.6*5.9*3</f>
        <v>223.02</v>
      </c>
      <c r="E50" s="57"/>
      <c r="F50" s="9">
        <f t="shared" si="1"/>
        <v>0</v>
      </c>
      <c r="H50" s="295"/>
    </row>
    <row r="51" spans="1:8" ht="18" x14ac:dyDescent="0.25">
      <c r="A51" s="26" t="s">
        <v>35</v>
      </c>
      <c r="B51" s="5" t="s">
        <v>36</v>
      </c>
      <c r="C51" s="63" t="s">
        <v>32</v>
      </c>
      <c r="D51" s="275">
        <f>14.1*1.5*3</f>
        <v>63.449999999999996</v>
      </c>
      <c r="E51" s="9"/>
      <c r="F51" s="9">
        <f t="shared" si="1"/>
        <v>0</v>
      </c>
    </row>
    <row r="52" spans="1:8" s="138" customFormat="1" ht="18" x14ac:dyDescent="0.25">
      <c r="A52" s="26" t="s">
        <v>37</v>
      </c>
      <c r="B52" s="5" t="s">
        <v>38</v>
      </c>
      <c r="C52" s="63" t="s">
        <v>32</v>
      </c>
      <c r="D52" s="274">
        <f>D49+D50-D51</f>
        <v>202.815</v>
      </c>
      <c r="E52" s="9"/>
      <c r="F52" s="9">
        <f t="shared" si="1"/>
        <v>0</v>
      </c>
      <c r="H52" s="295"/>
    </row>
    <row r="53" spans="1:8" s="138" customFormat="1" ht="45" x14ac:dyDescent="0.25">
      <c r="A53" s="26" t="s">
        <v>39</v>
      </c>
      <c r="B53" s="5" t="s">
        <v>40</v>
      </c>
      <c r="C53" s="63" t="s">
        <v>32</v>
      </c>
      <c r="D53" s="274">
        <f>(7.9+2.4)*2*0.4*0.05</f>
        <v>0.41200000000000003</v>
      </c>
      <c r="E53" s="9"/>
      <c r="F53" s="9">
        <f t="shared" si="1"/>
        <v>0</v>
      </c>
      <c r="H53" s="295"/>
    </row>
    <row r="54" spans="1:8" s="138" customFormat="1" ht="45" x14ac:dyDescent="0.25">
      <c r="A54" s="26" t="s">
        <v>41</v>
      </c>
      <c r="B54" s="5" t="s">
        <v>42</v>
      </c>
      <c r="C54" s="53" t="s">
        <v>43</v>
      </c>
      <c r="D54" s="274">
        <f>(7.9+2.4)*2*0.4*3</f>
        <v>24.72</v>
      </c>
      <c r="E54" s="9"/>
      <c r="F54" s="9">
        <f t="shared" si="1"/>
        <v>0</v>
      </c>
      <c r="H54" s="295"/>
    </row>
    <row r="55" spans="1:8" s="138" customFormat="1" ht="15" x14ac:dyDescent="0.25">
      <c r="A55" s="26" t="s">
        <v>44</v>
      </c>
      <c r="B55" s="5" t="s">
        <v>45</v>
      </c>
      <c r="C55" s="53" t="s">
        <v>43</v>
      </c>
      <c r="D55" s="274">
        <f>(7.9+2.4)*2*0.4*0.05</f>
        <v>0.41200000000000003</v>
      </c>
      <c r="E55" s="9"/>
      <c r="F55" s="9">
        <f t="shared" si="1"/>
        <v>0</v>
      </c>
      <c r="H55" s="295"/>
    </row>
    <row r="56" spans="1:8" ht="15" x14ac:dyDescent="0.25">
      <c r="A56" s="26" t="s">
        <v>46</v>
      </c>
      <c r="B56" s="5" t="s">
        <v>47</v>
      </c>
      <c r="C56" s="53" t="s">
        <v>43</v>
      </c>
      <c r="D56" s="274">
        <f>(7.9+2.4)*2*0.2*0.25*3</f>
        <v>3.09</v>
      </c>
      <c r="E56" s="9"/>
      <c r="F56" s="9">
        <f t="shared" si="1"/>
        <v>0</v>
      </c>
    </row>
    <row r="57" spans="1:8" s="138" customFormat="1" ht="30" x14ac:dyDescent="0.25">
      <c r="A57" s="26" t="s">
        <v>48</v>
      </c>
      <c r="B57" s="5" t="s">
        <v>49</v>
      </c>
      <c r="C57" s="53" t="s">
        <v>50</v>
      </c>
      <c r="D57" s="274">
        <f>(7.5+2.1)*2*3</f>
        <v>57.599999999999994</v>
      </c>
      <c r="E57" s="9"/>
      <c r="F57" s="9">
        <f t="shared" si="1"/>
        <v>0</v>
      </c>
      <c r="H57" s="295"/>
    </row>
    <row r="58" spans="1:8" ht="30" x14ac:dyDescent="0.25">
      <c r="A58" s="26" t="s">
        <v>51</v>
      </c>
      <c r="B58" s="5" t="s">
        <v>52</v>
      </c>
      <c r="C58" s="53" t="s">
        <v>43</v>
      </c>
      <c r="D58" s="274">
        <f>7.5*1.5*0.3</f>
        <v>3.375</v>
      </c>
      <c r="E58" s="9"/>
      <c r="F58" s="9">
        <f t="shared" si="1"/>
        <v>0</v>
      </c>
    </row>
    <row r="59" spans="1:8" s="138" customFormat="1" ht="45" x14ac:dyDescent="0.25">
      <c r="A59" s="26" t="s">
        <v>53</v>
      </c>
      <c r="B59" s="5" t="s">
        <v>54</v>
      </c>
      <c r="C59" s="53" t="s">
        <v>55</v>
      </c>
      <c r="D59" s="274">
        <v>1</v>
      </c>
      <c r="E59" s="9"/>
      <c r="F59" s="9">
        <f t="shared" si="1"/>
        <v>0</v>
      </c>
      <c r="H59" s="295"/>
    </row>
    <row r="60" spans="1:8" s="138" customFormat="1" ht="30" x14ac:dyDescent="0.25">
      <c r="A60" s="26" t="s">
        <v>56</v>
      </c>
      <c r="B60" s="5" t="s">
        <v>57</v>
      </c>
      <c r="C60" s="53" t="s">
        <v>43</v>
      </c>
      <c r="D60" s="274">
        <f>8.2*8.2*0.15-D61</f>
        <v>9.9509999999999987</v>
      </c>
      <c r="E60" s="9"/>
      <c r="F60" s="9">
        <f t="shared" si="1"/>
        <v>0</v>
      </c>
      <c r="H60" s="295"/>
    </row>
    <row r="61" spans="1:8" s="138" customFormat="1" ht="30" x14ac:dyDescent="0.25">
      <c r="A61" s="26" t="s">
        <v>58</v>
      </c>
      <c r="B61" s="5" t="s">
        <v>59</v>
      </c>
      <c r="C61" s="53" t="s">
        <v>50</v>
      </c>
      <c r="D61" s="274">
        <f>1.5*0.6*0.15</f>
        <v>0.13499999999999998</v>
      </c>
      <c r="E61" s="9"/>
      <c r="F61" s="9">
        <f t="shared" si="1"/>
        <v>0</v>
      </c>
      <c r="H61" s="295"/>
    </row>
    <row r="62" spans="1:8" ht="15" x14ac:dyDescent="0.25">
      <c r="A62" s="26" t="s">
        <v>116</v>
      </c>
      <c r="B62" s="5" t="s">
        <v>61</v>
      </c>
      <c r="C62" s="53" t="s">
        <v>62</v>
      </c>
      <c r="D62" s="274">
        <f>7.3*5-2.4+1.1*10+6</f>
        <v>51.1</v>
      </c>
      <c r="E62" s="9"/>
      <c r="F62" s="9">
        <f t="shared" si="1"/>
        <v>0</v>
      </c>
    </row>
    <row r="63" spans="1:8" s="138" customFormat="1" ht="30" x14ac:dyDescent="0.25">
      <c r="A63" s="26" t="s">
        <v>118</v>
      </c>
      <c r="B63" s="5" t="s">
        <v>119</v>
      </c>
      <c r="C63" s="53" t="s">
        <v>43</v>
      </c>
      <c r="D63" s="274">
        <f>0.2*0.2*3.4*6</f>
        <v>0.81600000000000006</v>
      </c>
      <c r="E63" s="9"/>
      <c r="F63" s="9">
        <f t="shared" si="1"/>
        <v>0</v>
      </c>
      <c r="H63" s="295"/>
    </row>
    <row r="64" spans="1:8" s="138" customFormat="1" ht="30" x14ac:dyDescent="0.25">
      <c r="A64" s="26" t="s">
        <v>120</v>
      </c>
      <c r="B64" s="5" t="s">
        <v>121</v>
      </c>
      <c r="C64" s="53" t="s">
        <v>43</v>
      </c>
      <c r="D64" s="276">
        <f>7.3*4*0.2*0.2</f>
        <v>1.1679999999999999</v>
      </c>
      <c r="E64" s="9"/>
      <c r="F64" s="9">
        <f t="shared" si="1"/>
        <v>0</v>
      </c>
      <c r="H64" s="295"/>
    </row>
    <row r="65" spans="1:8" s="138" customFormat="1" ht="30" x14ac:dyDescent="0.25">
      <c r="A65" s="26" t="s">
        <v>122</v>
      </c>
      <c r="B65" s="5" t="s">
        <v>64</v>
      </c>
      <c r="C65" s="53" t="s">
        <v>50</v>
      </c>
      <c r="D65" s="276">
        <f>7.3*4*3.4-1.2*3.4*2</f>
        <v>91.12</v>
      </c>
      <c r="E65" s="9"/>
      <c r="F65" s="9">
        <f t="shared" si="1"/>
        <v>0</v>
      </c>
      <c r="H65" s="295"/>
    </row>
    <row r="66" spans="1:8" s="138" customFormat="1" ht="30" x14ac:dyDescent="0.25">
      <c r="A66" s="26" t="s">
        <v>60</v>
      </c>
      <c r="B66" s="5" t="s">
        <v>123</v>
      </c>
      <c r="C66" s="53" t="s">
        <v>50</v>
      </c>
      <c r="D66" s="274">
        <f>(7.3*3+1.1*10+6)*2.1-0.8*2.1*12</f>
        <v>61.529999999999994</v>
      </c>
      <c r="E66" s="9"/>
      <c r="F66" s="9">
        <f t="shared" si="1"/>
        <v>0</v>
      </c>
      <c r="H66" s="295"/>
    </row>
    <row r="67" spans="1:8" ht="15" x14ac:dyDescent="0.25">
      <c r="A67" s="26" t="s">
        <v>124</v>
      </c>
      <c r="B67" s="5" t="s">
        <v>66</v>
      </c>
      <c r="C67" s="53" t="s">
        <v>67</v>
      </c>
      <c r="D67" s="274">
        <v>6</v>
      </c>
      <c r="E67" s="9"/>
      <c r="F67" s="9">
        <f t="shared" si="1"/>
        <v>0</v>
      </c>
    </row>
    <row r="68" spans="1:8" s="138" customFormat="1" ht="15" x14ac:dyDescent="0.25">
      <c r="A68" s="26" t="s">
        <v>125</v>
      </c>
      <c r="B68" s="5" t="s">
        <v>69</v>
      </c>
      <c r="C68" s="53" t="s">
        <v>70</v>
      </c>
      <c r="D68" s="276">
        <f>95.87*1.1</f>
        <v>105.45700000000001</v>
      </c>
      <c r="E68" s="9"/>
      <c r="F68" s="9">
        <f t="shared" si="1"/>
        <v>0</v>
      </c>
      <c r="H68" s="295"/>
    </row>
    <row r="69" spans="1:8" s="138" customFormat="1" ht="30" x14ac:dyDescent="0.25">
      <c r="A69" s="26" t="s">
        <v>63</v>
      </c>
      <c r="B69" s="5" t="s">
        <v>126</v>
      </c>
      <c r="C69" s="53" t="s">
        <v>50</v>
      </c>
      <c r="D69" s="274">
        <f>8*8.5*1.15</f>
        <v>78.199999999999989</v>
      </c>
      <c r="E69" s="9"/>
      <c r="F69" s="9">
        <f t="shared" si="1"/>
        <v>0</v>
      </c>
      <c r="H69" s="295"/>
    </row>
    <row r="70" spans="1:8" s="138" customFormat="1" ht="15" x14ac:dyDescent="0.25">
      <c r="A70" s="26" t="s">
        <v>127</v>
      </c>
      <c r="B70" s="5" t="s">
        <v>74</v>
      </c>
      <c r="C70" s="53" t="s">
        <v>70</v>
      </c>
      <c r="D70" s="274">
        <v>8.5</v>
      </c>
      <c r="E70" s="9"/>
      <c r="F70" s="9">
        <f t="shared" si="1"/>
        <v>0</v>
      </c>
      <c r="H70" s="295"/>
    </row>
    <row r="71" spans="1:8" ht="15" x14ac:dyDescent="0.25">
      <c r="A71" s="26" t="s">
        <v>65</v>
      </c>
      <c r="B71" s="5" t="s">
        <v>76</v>
      </c>
      <c r="C71" s="53" t="s">
        <v>70</v>
      </c>
      <c r="D71" s="274">
        <f>8.5+16</f>
        <v>24.5</v>
      </c>
      <c r="E71" s="9"/>
      <c r="F71" s="9">
        <f t="shared" si="1"/>
        <v>0</v>
      </c>
    </row>
    <row r="72" spans="1:8" s="138" customFormat="1" ht="45" x14ac:dyDescent="0.25">
      <c r="A72" s="26" t="s">
        <v>68</v>
      </c>
      <c r="B72" s="5" t="s">
        <v>78</v>
      </c>
      <c r="C72" s="53" t="s">
        <v>79</v>
      </c>
      <c r="D72" s="274">
        <v>1</v>
      </c>
      <c r="E72" s="9"/>
      <c r="F72" s="9">
        <f t="shared" si="1"/>
        <v>0</v>
      </c>
      <c r="H72" s="295"/>
    </row>
    <row r="73" spans="1:8" s="138" customFormat="1" ht="45" x14ac:dyDescent="0.25">
      <c r="A73" s="26" t="s">
        <v>73</v>
      </c>
      <c r="B73" s="5" t="s">
        <v>81</v>
      </c>
      <c r="C73" s="53" t="s">
        <v>50</v>
      </c>
      <c r="D73" s="274">
        <f>D66*2+D65</f>
        <v>214.18</v>
      </c>
      <c r="E73" s="9"/>
      <c r="F73" s="9">
        <f t="shared" si="1"/>
        <v>0</v>
      </c>
      <c r="H73" s="295"/>
    </row>
    <row r="74" spans="1:8" ht="30" x14ac:dyDescent="0.25">
      <c r="A74" s="26" t="s">
        <v>75</v>
      </c>
      <c r="B74" s="5" t="s">
        <v>83</v>
      </c>
      <c r="C74" s="53" t="s">
        <v>50</v>
      </c>
      <c r="D74" s="274">
        <f>D65</f>
        <v>91.12</v>
      </c>
      <c r="E74" s="9"/>
      <c r="F74" s="9">
        <f t="shared" si="1"/>
        <v>0</v>
      </c>
    </row>
    <row r="75" spans="1:8" s="138" customFormat="1" ht="30" x14ac:dyDescent="0.25">
      <c r="A75" s="26" t="s">
        <v>77</v>
      </c>
      <c r="B75" s="5" t="s">
        <v>85</v>
      </c>
      <c r="C75" s="53" t="s">
        <v>26</v>
      </c>
      <c r="D75" s="274">
        <v>1</v>
      </c>
      <c r="E75" s="9"/>
      <c r="F75" s="9">
        <f t="shared" si="1"/>
        <v>0</v>
      </c>
      <c r="H75" s="295"/>
    </row>
    <row r="76" spans="1:8" s="138" customFormat="1" ht="30" x14ac:dyDescent="0.25">
      <c r="A76" s="26" t="s">
        <v>128</v>
      </c>
      <c r="B76" s="5" t="s">
        <v>179</v>
      </c>
      <c r="C76" s="53" t="s">
        <v>26</v>
      </c>
      <c r="D76" s="274">
        <v>0</v>
      </c>
      <c r="E76" s="9"/>
      <c r="F76" s="9">
        <f t="shared" si="1"/>
        <v>0</v>
      </c>
      <c r="H76" s="295"/>
    </row>
    <row r="77" spans="1:8" ht="15" x14ac:dyDescent="0.25">
      <c r="A77" s="26" t="s">
        <v>80</v>
      </c>
      <c r="B77" s="5" t="s">
        <v>90</v>
      </c>
      <c r="C77" s="53" t="s">
        <v>70</v>
      </c>
      <c r="D77" s="274">
        <f>7.3*4</f>
        <v>29.2</v>
      </c>
      <c r="E77" s="9"/>
      <c r="F77" s="9">
        <f t="shared" si="1"/>
        <v>0</v>
      </c>
    </row>
    <row r="78" spans="1:8" ht="30" x14ac:dyDescent="0.25">
      <c r="A78" s="26" t="s">
        <v>82</v>
      </c>
      <c r="B78" s="5" t="s">
        <v>92</v>
      </c>
      <c r="C78" s="53" t="s">
        <v>43</v>
      </c>
      <c r="D78" s="274">
        <f>8*8.5*0.05</f>
        <v>3.4000000000000004</v>
      </c>
      <c r="E78" s="9"/>
      <c r="F78" s="9">
        <f t="shared" si="1"/>
        <v>0</v>
      </c>
    </row>
    <row r="79" spans="1:8" ht="15" x14ac:dyDescent="0.25">
      <c r="A79" s="26" t="s">
        <v>84</v>
      </c>
      <c r="B79" s="5" t="s">
        <v>94</v>
      </c>
      <c r="C79" s="53" t="s">
        <v>50</v>
      </c>
      <c r="D79" s="274">
        <f>7.3*7.3</f>
        <v>53.29</v>
      </c>
      <c r="E79" s="9"/>
      <c r="F79" s="9">
        <f t="shared" si="1"/>
        <v>0</v>
      </c>
    </row>
    <row r="80" spans="1:8" ht="15" x14ac:dyDescent="0.25">
      <c r="A80" s="26" t="s">
        <v>130</v>
      </c>
      <c r="B80" s="5" t="s">
        <v>96</v>
      </c>
      <c r="C80" s="53" t="s">
        <v>50</v>
      </c>
      <c r="D80" s="274">
        <f>8*8.5-D79</f>
        <v>14.71</v>
      </c>
      <c r="E80" s="9"/>
      <c r="F80" s="9">
        <f t="shared" si="1"/>
        <v>0</v>
      </c>
    </row>
    <row r="81" spans="1:9" s="138" customFormat="1" ht="45" x14ac:dyDescent="0.25">
      <c r="A81" s="26" t="s">
        <v>86</v>
      </c>
      <c r="B81" s="5" t="s">
        <v>129</v>
      </c>
      <c r="C81" s="53" t="s">
        <v>88</v>
      </c>
      <c r="D81" s="274">
        <v>12</v>
      </c>
      <c r="E81" s="9"/>
      <c r="F81" s="9">
        <f t="shared" si="1"/>
        <v>0</v>
      </c>
      <c r="H81" s="295"/>
      <c r="I81" s="305"/>
    </row>
    <row r="82" spans="1:9" s="140" customFormat="1" ht="30" x14ac:dyDescent="0.25">
      <c r="A82" s="26" t="s">
        <v>89</v>
      </c>
      <c r="B82" s="5" t="s">
        <v>131</v>
      </c>
      <c r="C82" s="53" t="s">
        <v>88</v>
      </c>
      <c r="D82" s="274">
        <v>13</v>
      </c>
      <c r="E82" s="9"/>
      <c r="F82" s="9">
        <f t="shared" si="1"/>
        <v>0</v>
      </c>
      <c r="H82" s="298"/>
    </row>
    <row r="83" spans="1:9" s="140" customFormat="1" ht="15" x14ac:dyDescent="0.25">
      <c r="A83" s="26" t="s">
        <v>91</v>
      </c>
      <c r="B83" s="5" t="s">
        <v>132</v>
      </c>
      <c r="C83" s="53" t="s">
        <v>88</v>
      </c>
      <c r="D83" s="274">
        <v>3</v>
      </c>
      <c r="E83" s="9"/>
      <c r="F83" s="9">
        <f t="shared" si="1"/>
        <v>0</v>
      </c>
      <c r="H83" s="298"/>
    </row>
    <row r="84" spans="1:9" ht="30" x14ac:dyDescent="0.25">
      <c r="A84" s="26" t="s">
        <v>93</v>
      </c>
      <c r="B84" s="5" t="s">
        <v>104</v>
      </c>
      <c r="C84" s="53" t="s">
        <v>50</v>
      </c>
      <c r="D84" s="274">
        <f>1.1*4*0.6</f>
        <v>2.64</v>
      </c>
      <c r="E84" s="9"/>
      <c r="F84" s="9">
        <f t="shared" si="1"/>
        <v>0</v>
      </c>
    </row>
    <row r="85" spans="1:9" s="142" customFormat="1" ht="15" x14ac:dyDescent="0.25">
      <c r="A85" s="26" t="s">
        <v>95</v>
      </c>
      <c r="B85" s="5" t="s">
        <v>106</v>
      </c>
      <c r="C85" s="53" t="s">
        <v>26</v>
      </c>
      <c r="D85" s="274">
        <v>1</v>
      </c>
      <c r="E85" s="9"/>
      <c r="F85" s="9">
        <f t="shared" si="1"/>
        <v>0</v>
      </c>
      <c r="H85" s="297"/>
    </row>
    <row r="86" spans="1:9" ht="30" x14ac:dyDescent="0.25">
      <c r="A86" s="26" t="s">
        <v>135</v>
      </c>
      <c r="B86" s="5" t="s">
        <v>108</v>
      </c>
      <c r="C86" s="53" t="s">
        <v>50</v>
      </c>
      <c r="D86" s="274">
        <f>D73</f>
        <v>214.18</v>
      </c>
      <c r="E86" s="9"/>
      <c r="F86" s="9">
        <f t="shared" si="1"/>
        <v>0</v>
      </c>
    </row>
    <row r="87" spans="1:9" s="138" customFormat="1" ht="60" x14ac:dyDescent="0.25">
      <c r="A87" s="26" t="s">
        <v>97</v>
      </c>
      <c r="B87" s="5" t="s">
        <v>133</v>
      </c>
      <c r="C87" s="53" t="s">
        <v>55</v>
      </c>
      <c r="D87" s="274">
        <v>12</v>
      </c>
      <c r="E87" s="9"/>
      <c r="F87" s="9">
        <f t="shared" si="1"/>
        <v>0</v>
      </c>
      <c r="H87" s="295"/>
    </row>
    <row r="88" spans="1:9" s="138" customFormat="1" ht="30" x14ac:dyDescent="0.25">
      <c r="A88" s="26" t="s">
        <v>99</v>
      </c>
      <c r="B88" s="5" t="s">
        <v>134</v>
      </c>
      <c r="C88" s="53" t="s">
        <v>43</v>
      </c>
      <c r="D88" s="274">
        <f>1.1*4*0.6*0.1</f>
        <v>0.26400000000000001</v>
      </c>
      <c r="E88" s="9"/>
      <c r="F88" s="9">
        <f t="shared" si="1"/>
        <v>0</v>
      </c>
      <c r="H88" s="295"/>
    </row>
    <row r="89" spans="1:9" ht="30" x14ac:dyDescent="0.25">
      <c r="A89" s="26" t="s">
        <v>101</v>
      </c>
      <c r="B89" s="5" t="s">
        <v>136</v>
      </c>
      <c r="C89" s="53" t="s">
        <v>70</v>
      </c>
      <c r="D89" s="274">
        <v>30</v>
      </c>
      <c r="E89" s="9"/>
      <c r="F89" s="9">
        <f t="shared" si="1"/>
        <v>0</v>
      </c>
    </row>
    <row r="90" spans="1:9" ht="75" x14ac:dyDescent="0.25">
      <c r="A90" s="26" t="s">
        <v>103</v>
      </c>
      <c r="B90" s="5" t="s">
        <v>137</v>
      </c>
      <c r="C90" s="53" t="s">
        <v>70</v>
      </c>
      <c r="D90" s="274">
        <v>20</v>
      </c>
      <c r="E90" s="9"/>
      <c r="F90" s="9">
        <f t="shared" si="1"/>
        <v>0</v>
      </c>
    </row>
    <row r="91" spans="1:9" s="140" customFormat="1" ht="30" x14ac:dyDescent="0.25">
      <c r="A91" s="26" t="s">
        <v>105</v>
      </c>
      <c r="B91" s="5" t="s">
        <v>138</v>
      </c>
      <c r="C91" s="53" t="s">
        <v>55</v>
      </c>
      <c r="D91" s="274">
        <v>4</v>
      </c>
      <c r="E91" s="9"/>
      <c r="F91" s="9">
        <f t="shared" si="1"/>
        <v>0</v>
      </c>
      <c r="H91" s="298"/>
    </row>
    <row r="92" spans="1:9" s="140" customFormat="1" ht="15" x14ac:dyDescent="0.25">
      <c r="A92" s="26" t="s">
        <v>107</v>
      </c>
      <c r="B92" s="37" t="s">
        <v>139</v>
      </c>
      <c r="C92" s="129" t="s">
        <v>43</v>
      </c>
      <c r="D92" s="277">
        <v>10.8</v>
      </c>
      <c r="E92" s="39"/>
      <c r="F92" s="48">
        <f t="shared" si="1"/>
        <v>0</v>
      </c>
      <c r="H92" s="298"/>
    </row>
    <row r="93" spans="1:9" ht="30" x14ac:dyDescent="0.25">
      <c r="A93" s="26" t="s">
        <v>161</v>
      </c>
      <c r="B93" s="5" t="s">
        <v>112</v>
      </c>
      <c r="C93" s="53" t="s">
        <v>43</v>
      </c>
      <c r="D93" s="274">
        <f>4*2.9*0.1</f>
        <v>1.1599999999999999</v>
      </c>
      <c r="E93" s="9"/>
      <c r="F93" s="9">
        <f t="shared" si="1"/>
        <v>0</v>
      </c>
    </row>
    <row r="94" spans="1:9" ht="15" x14ac:dyDescent="0.25">
      <c r="A94" s="58"/>
      <c r="B94" s="59" t="s">
        <v>113</v>
      </c>
      <c r="C94" s="60"/>
      <c r="D94" s="278"/>
      <c r="E94" s="61"/>
      <c r="F94" s="61">
        <f>SUM(F47:F93)</f>
        <v>0</v>
      </c>
    </row>
    <row r="95" spans="1:9" s="138" customFormat="1" ht="18.75" x14ac:dyDescent="0.25">
      <c r="A95" s="64"/>
      <c r="B95" s="5" t="s">
        <v>180</v>
      </c>
      <c r="C95" s="65"/>
      <c r="D95" s="324"/>
      <c r="E95" s="67"/>
      <c r="F95" s="68"/>
      <c r="H95" s="295"/>
    </row>
    <row r="96" spans="1:9" s="138" customFormat="1" ht="15" x14ac:dyDescent="0.25">
      <c r="A96" s="147">
        <v>49</v>
      </c>
      <c r="B96" s="148" t="s">
        <v>141</v>
      </c>
      <c r="C96" s="306" t="s">
        <v>50</v>
      </c>
      <c r="D96" s="280">
        <v>4.1500000000000004</v>
      </c>
      <c r="E96" s="307"/>
      <c r="F96" s="9">
        <f t="shared" ref="F96:F110" si="2">D96*E96</f>
        <v>0</v>
      </c>
      <c r="H96" s="295"/>
    </row>
    <row r="97" spans="1:8" s="138" customFormat="1" ht="30" x14ac:dyDescent="0.25">
      <c r="A97" s="147">
        <v>50</v>
      </c>
      <c r="B97" s="150" t="s">
        <v>142</v>
      </c>
      <c r="C97" s="308" t="s">
        <v>43</v>
      </c>
      <c r="D97" s="281">
        <v>3.01</v>
      </c>
      <c r="E97" s="309"/>
      <c r="F97" s="9">
        <f t="shared" si="2"/>
        <v>0</v>
      </c>
      <c r="H97" s="295"/>
    </row>
    <row r="98" spans="1:8" ht="30" x14ac:dyDescent="0.25">
      <c r="A98" s="147">
        <v>51</v>
      </c>
      <c r="B98" s="150" t="s">
        <v>143</v>
      </c>
      <c r="C98" s="308" t="s">
        <v>50</v>
      </c>
      <c r="D98" s="281">
        <v>2.54</v>
      </c>
      <c r="E98" s="309"/>
      <c r="F98" s="9">
        <f t="shared" si="2"/>
        <v>0</v>
      </c>
    </row>
    <row r="99" spans="1:8" ht="30" x14ac:dyDescent="0.25">
      <c r="A99" s="147">
        <v>52</v>
      </c>
      <c r="B99" s="150" t="s">
        <v>144</v>
      </c>
      <c r="C99" s="308" t="s">
        <v>145</v>
      </c>
      <c r="D99" s="281">
        <v>1</v>
      </c>
      <c r="E99" s="309"/>
      <c r="F99" s="9">
        <f t="shared" si="2"/>
        <v>0</v>
      </c>
    </row>
    <row r="100" spans="1:8" ht="45" x14ac:dyDescent="0.25">
      <c r="A100" s="147">
        <v>53</v>
      </c>
      <c r="B100" s="150" t="s">
        <v>146</v>
      </c>
      <c r="C100" s="308" t="s">
        <v>43</v>
      </c>
      <c r="D100" s="281">
        <v>0.2</v>
      </c>
      <c r="E100" s="309"/>
      <c r="F100" s="9">
        <f t="shared" si="2"/>
        <v>0</v>
      </c>
    </row>
    <row r="101" spans="1:8" ht="30" x14ac:dyDescent="0.25">
      <c r="A101" s="147">
        <v>54</v>
      </c>
      <c r="B101" s="150" t="s">
        <v>147</v>
      </c>
      <c r="C101" s="308" t="s">
        <v>50</v>
      </c>
      <c r="D101" s="281">
        <v>2</v>
      </c>
      <c r="E101" s="309"/>
      <c r="F101" s="9">
        <f t="shared" si="2"/>
        <v>0</v>
      </c>
    </row>
    <row r="102" spans="1:8" s="138" customFormat="1" ht="30" x14ac:dyDescent="0.25">
      <c r="A102" s="147">
        <v>55</v>
      </c>
      <c r="B102" s="150" t="s">
        <v>148</v>
      </c>
      <c r="C102" s="308" t="s">
        <v>50</v>
      </c>
      <c r="D102" s="281">
        <v>5.0199999999999996</v>
      </c>
      <c r="E102" s="309"/>
      <c r="F102" s="9">
        <f t="shared" si="2"/>
        <v>0</v>
      </c>
      <c r="H102" s="295"/>
    </row>
    <row r="103" spans="1:8" s="138" customFormat="1" ht="30" x14ac:dyDescent="0.25">
      <c r="A103" s="147">
        <v>56</v>
      </c>
      <c r="B103" s="150" t="s">
        <v>149</v>
      </c>
      <c r="C103" s="308" t="s">
        <v>70</v>
      </c>
      <c r="D103" s="281">
        <v>6</v>
      </c>
      <c r="E103" s="309"/>
      <c r="F103" s="9">
        <f t="shared" si="2"/>
        <v>0</v>
      </c>
      <c r="H103" s="295"/>
    </row>
    <row r="104" spans="1:8" s="138" customFormat="1" ht="30" x14ac:dyDescent="0.25">
      <c r="A104" s="147">
        <v>57</v>
      </c>
      <c r="B104" s="150" t="s">
        <v>150</v>
      </c>
      <c r="C104" s="308" t="s">
        <v>88</v>
      </c>
      <c r="D104" s="281">
        <v>1</v>
      </c>
      <c r="E104" s="309"/>
      <c r="F104" s="9">
        <f t="shared" si="2"/>
        <v>0</v>
      </c>
      <c r="H104" s="295"/>
    </row>
    <row r="105" spans="1:8" s="138" customFormat="1" ht="30" x14ac:dyDescent="0.25">
      <c r="A105" s="147">
        <v>58</v>
      </c>
      <c r="B105" s="150" t="s">
        <v>151</v>
      </c>
      <c r="C105" s="308" t="s">
        <v>88</v>
      </c>
      <c r="D105" s="281">
        <v>1</v>
      </c>
      <c r="E105" s="309"/>
      <c r="F105" s="9">
        <f t="shared" si="2"/>
        <v>0</v>
      </c>
      <c r="H105" s="295"/>
    </row>
    <row r="106" spans="1:8" s="138" customFormat="1" ht="15" x14ac:dyDescent="0.25">
      <c r="A106" s="147">
        <v>59</v>
      </c>
      <c r="B106" s="150" t="s">
        <v>152</v>
      </c>
      <c r="C106" s="308" t="s">
        <v>43</v>
      </c>
      <c r="D106" s="281">
        <v>3.93</v>
      </c>
      <c r="E106" s="309"/>
      <c r="F106" s="9">
        <f t="shared" si="2"/>
        <v>0</v>
      </c>
      <c r="H106" s="295"/>
    </row>
    <row r="107" spans="1:8" ht="15" x14ac:dyDescent="0.25">
      <c r="A107" s="147">
        <v>60</v>
      </c>
      <c r="B107" s="150" t="s">
        <v>153</v>
      </c>
      <c r="C107" s="308" t="s">
        <v>43</v>
      </c>
      <c r="D107" s="281">
        <v>3.93</v>
      </c>
      <c r="E107" s="309"/>
      <c r="F107" s="9">
        <f t="shared" si="2"/>
        <v>0</v>
      </c>
    </row>
    <row r="108" spans="1:8" s="138" customFormat="1" ht="45" x14ac:dyDescent="0.25">
      <c r="A108" s="147">
        <v>61</v>
      </c>
      <c r="B108" s="150" t="s">
        <v>154</v>
      </c>
      <c r="C108" s="308" t="s">
        <v>43</v>
      </c>
      <c r="D108" s="281">
        <v>1.22</v>
      </c>
      <c r="E108" s="309"/>
      <c r="F108" s="9">
        <f t="shared" si="2"/>
        <v>0</v>
      </c>
      <c r="H108" s="295"/>
    </row>
    <row r="109" spans="1:8" s="138" customFormat="1" ht="30" x14ac:dyDescent="0.25">
      <c r="A109" s="147">
        <v>62</v>
      </c>
      <c r="B109" s="150" t="s">
        <v>143</v>
      </c>
      <c r="C109" s="308" t="s">
        <v>50</v>
      </c>
      <c r="D109" s="281">
        <v>1.22</v>
      </c>
      <c r="E109" s="309"/>
      <c r="F109" s="9">
        <f t="shared" si="2"/>
        <v>0</v>
      </c>
      <c r="H109" s="295"/>
    </row>
    <row r="110" spans="1:8" ht="60" x14ac:dyDescent="0.25">
      <c r="A110" s="147">
        <v>63</v>
      </c>
      <c r="B110" s="153" t="s">
        <v>155</v>
      </c>
      <c r="C110" s="310" t="s">
        <v>50</v>
      </c>
      <c r="D110" s="282">
        <v>130</v>
      </c>
      <c r="E110" s="311"/>
      <c r="F110" s="9">
        <f t="shared" si="2"/>
        <v>0</v>
      </c>
    </row>
    <row r="111" spans="1:8" ht="15" x14ac:dyDescent="0.25">
      <c r="A111" s="58"/>
      <c r="B111" s="59" t="s">
        <v>170</v>
      </c>
      <c r="C111" s="60"/>
      <c r="D111" s="278"/>
      <c r="E111" s="61"/>
      <c r="F111" s="61">
        <f>SUM(F96:F110)</f>
        <v>0</v>
      </c>
    </row>
    <row r="112" spans="1:8" ht="15" x14ac:dyDescent="0.25">
      <c r="A112" s="58"/>
      <c r="B112" s="59" t="s">
        <v>181</v>
      </c>
      <c r="C112" s="60"/>
      <c r="D112" s="278"/>
      <c r="E112" s="61"/>
      <c r="F112" s="61">
        <f>F111*2</f>
        <v>0</v>
      </c>
    </row>
    <row r="113" spans="1:8" ht="39" x14ac:dyDescent="0.25">
      <c r="A113" s="143"/>
      <c r="B113" s="143" t="s">
        <v>167</v>
      </c>
      <c r="C113" s="144"/>
      <c r="D113" s="322"/>
      <c r="E113" s="299"/>
      <c r="F113" s="62">
        <f>SUM(F112+F94)</f>
        <v>0</v>
      </c>
    </row>
    <row r="114" spans="1:8" s="138" customFormat="1" ht="14.45" customHeight="1" x14ac:dyDescent="0.25">
      <c r="A114" s="300"/>
      <c r="B114" s="301" t="s">
        <v>182</v>
      </c>
      <c r="C114" s="302"/>
      <c r="D114" s="323"/>
      <c r="E114" s="303"/>
      <c r="F114" s="304"/>
      <c r="H114" s="295"/>
    </row>
    <row r="115" spans="1:8" ht="15" x14ac:dyDescent="0.25">
      <c r="A115" s="26" t="s">
        <v>24</v>
      </c>
      <c r="B115" s="56" t="s">
        <v>25</v>
      </c>
      <c r="C115" s="63" t="s">
        <v>26</v>
      </c>
      <c r="D115" s="274">
        <v>1</v>
      </c>
      <c r="E115" s="57"/>
      <c r="F115" s="9">
        <f t="shared" ref="F115:F157" si="3">D115*E115</f>
        <v>0</v>
      </c>
    </row>
    <row r="116" spans="1:8" s="138" customFormat="1" ht="18" x14ac:dyDescent="0.25">
      <c r="A116" s="26" t="s">
        <v>27</v>
      </c>
      <c r="B116" s="56" t="s">
        <v>28</v>
      </c>
      <c r="C116" s="63" t="s">
        <v>29</v>
      </c>
      <c r="D116" s="274">
        <f>9.3*9.3</f>
        <v>86.490000000000009</v>
      </c>
      <c r="E116" s="57"/>
      <c r="F116" s="9">
        <f t="shared" si="3"/>
        <v>0</v>
      </c>
      <c r="H116" s="295"/>
    </row>
    <row r="117" spans="1:8" s="138" customFormat="1" ht="18" x14ac:dyDescent="0.25">
      <c r="A117" s="26" t="s">
        <v>30</v>
      </c>
      <c r="B117" s="56" t="s">
        <v>31</v>
      </c>
      <c r="C117" s="63" t="s">
        <v>32</v>
      </c>
      <c r="D117" s="274">
        <f>D116*0.5</f>
        <v>43.245000000000005</v>
      </c>
      <c r="E117" s="57"/>
      <c r="F117" s="9">
        <f t="shared" si="3"/>
        <v>0</v>
      </c>
      <c r="H117" s="295"/>
    </row>
    <row r="118" spans="1:8" s="138" customFormat="1" ht="45" x14ac:dyDescent="0.25">
      <c r="A118" s="26" t="s">
        <v>33</v>
      </c>
      <c r="B118" s="56" t="s">
        <v>34</v>
      </c>
      <c r="C118" s="63" t="s">
        <v>32</v>
      </c>
      <c r="D118" s="274">
        <f>12.6*5.9*3</f>
        <v>223.02</v>
      </c>
      <c r="E118" s="57"/>
      <c r="F118" s="9">
        <f t="shared" si="3"/>
        <v>0</v>
      </c>
      <c r="H118" s="295"/>
    </row>
    <row r="119" spans="1:8" ht="18" x14ac:dyDescent="0.25">
      <c r="A119" s="26" t="s">
        <v>35</v>
      </c>
      <c r="B119" s="5" t="s">
        <v>36</v>
      </c>
      <c r="C119" s="63" t="s">
        <v>32</v>
      </c>
      <c r="D119" s="275">
        <f>14.1*1.5*3</f>
        <v>63.449999999999996</v>
      </c>
      <c r="E119" s="9"/>
      <c r="F119" s="9">
        <f t="shared" si="3"/>
        <v>0</v>
      </c>
    </row>
    <row r="120" spans="1:8" s="138" customFormat="1" ht="18" x14ac:dyDescent="0.25">
      <c r="A120" s="26" t="s">
        <v>37</v>
      </c>
      <c r="B120" s="5" t="s">
        <v>38</v>
      </c>
      <c r="C120" s="63" t="s">
        <v>32</v>
      </c>
      <c r="D120" s="274">
        <f>D117+D118-D119</f>
        <v>202.815</v>
      </c>
      <c r="E120" s="9"/>
      <c r="F120" s="9">
        <f t="shared" si="3"/>
        <v>0</v>
      </c>
      <c r="H120" s="295"/>
    </row>
    <row r="121" spans="1:8" s="138" customFormat="1" ht="45" x14ac:dyDescent="0.25">
      <c r="A121" s="26" t="s">
        <v>39</v>
      </c>
      <c r="B121" s="5" t="s">
        <v>40</v>
      </c>
      <c r="C121" s="63" t="s">
        <v>32</v>
      </c>
      <c r="D121" s="274">
        <f>(7.9+2.4)*2*0.4*0.05</f>
        <v>0.41200000000000003</v>
      </c>
      <c r="E121" s="9"/>
      <c r="F121" s="9">
        <f t="shared" si="3"/>
        <v>0</v>
      </c>
      <c r="H121" s="295"/>
    </row>
    <row r="122" spans="1:8" s="138" customFormat="1" ht="45" x14ac:dyDescent="0.25">
      <c r="A122" s="26" t="s">
        <v>41</v>
      </c>
      <c r="B122" s="5" t="s">
        <v>42</v>
      </c>
      <c r="C122" s="53" t="s">
        <v>43</v>
      </c>
      <c r="D122" s="274">
        <f>(7.9+2.4)*2*0.4*3</f>
        <v>24.72</v>
      </c>
      <c r="E122" s="9"/>
      <c r="F122" s="9">
        <f t="shared" si="3"/>
        <v>0</v>
      </c>
      <c r="H122" s="295"/>
    </row>
    <row r="123" spans="1:8" s="138" customFormat="1" ht="15" x14ac:dyDescent="0.25">
      <c r="A123" s="26" t="s">
        <v>44</v>
      </c>
      <c r="B123" s="5" t="s">
        <v>45</v>
      </c>
      <c r="C123" s="53" t="s">
        <v>43</v>
      </c>
      <c r="D123" s="274">
        <f>(7.9+2.4)*2*0.4*0.05</f>
        <v>0.41200000000000003</v>
      </c>
      <c r="E123" s="9"/>
      <c r="F123" s="9">
        <f t="shared" si="3"/>
        <v>0</v>
      </c>
      <c r="H123" s="295"/>
    </row>
    <row r="124" spans="1:8" ht="15" x14ac:dyDescent="0.25">
      <c r="A124" s="26" t="s">
        <v>46</v>
      </c>
      <c r="B124" s="5" t="s">
        <v>47</v>
      </c>
      <c r="C124" s="53" t="s">
        <v>43</v>
      </c>
      <c r="D124" s="274">
        <f>(7.9+2.4)*2*0.2*0.25*3</f>
        <v>3.09</v>
      </c>
      <c r="E124" s="9"/>
      <c r="F124" s="9">
        <f t="shared" si="3"/>
        <v>0</v>
      </c>
    </row>
    <row r="125" spans="1:8" s="138" customFormat="1" ht="30" x14ac:dyDescent="0.25">
      <c r="A125" s="26" t="s">
        <v>48</v>
      </c>
      <c r="B125" s="5" t="s">
        <v>49</v>
      </c>
      <c r="C125" s="53" t="s">
        <v>50</v>
      </c>
      <c r="D125" s="274">
        <f>(7.5+2.1)*2*3</f>
        <v>57.599999999999994</v>
      </c>
      <c r="E125" s="9"/>
      <c r="F125" s="9">
        <f t="shared" si="3"/>
        <v>0</v>
      </c>
      <c r="H125" s="295"/>
    </row>
    <row r="126" spans="1:8" ht="30" x14ac:dyDescent="0.25">
      <c r="A126" s="26" t="s">
        <v>51</v>
      </c>
      <c r="B126" s="5" t="s">
        <v>52</v>
      </c>
      <c r="C126" s="53" t="s">
        <v>43</v>
      </c>
      <c r="D126" s="274">
        <f>7.5*1.5*0.3</f>
        <v>3.375</v>
      </c>
      <c r="E126" s="9"/>
      <c r="F126" s="9">
        <f t="shared" si="3"/>
        <v>0</v>
      </c>
    </row>
    <row r="127" spans="1:8" s="138" customFormat="1" ht="45" x14ac:dyDescent="0.25">
      <c r="A127" s="26" t="s">
        <v>53</v>
      </c>
      <c r="B127" s="5" t="s">
        <v>54</v>
      </c>
      <c r="C127" s="53" t="s">
        <v>55</v>
      </c>
      <c r="D127" s="274">
        <v>1</v>
      </c>
      <c r="E127" s="9"/>
      <c r="F127" s="9">
        <f t="shared" si="3"/>
        <v>0</v>
      </c>
      <c r="H127" s="295"/>
    </row>
    <row r="128" spans="1:8" s="138" customFormat="1" ht="30" x14ac:dyDescent="0.25">
      <c r="A128" s="26" t="s">
        <v>56</v>
      </c>
      <c r="B128" s="5" t="s">
        <v>57</v>
      </c>
      <c r="C128" s="53" t="s">
        <v>43</v>
      </c>
      <c r="D128" s="274">
        <f>8.2*8.2*0.15-D129</f>
        <v>9.9509999999999987</v>
      </c>
      <c r="E128" s="9"/>
      <c r="F128" s="9">
        <f t="shared" si="3"/>
        <v>0</v>
      </c>
      <c r="H128" s="295"/>
    </row>
    <row r="129" spans="1:8" s="138" customFormat="1" ht="30" x14ac:dyDescent="0.25">
      <c r="A129" s="26" t="s">
        <v>58</v>
      </c>
      <c r="B129" s="5" t="s">
        <v>59</v>
      </c>
      <c r="C129" s="53" t="s">
        <v>50</v>
      </c>
      <c r="D129" s="274">
        <f>1.5*0.6*0.15</f>
        <v>0.13499999999999998</v>
      </c>
      <c r="E129" s="9"/>
      <c r="F129" s="9">
        <f t="shared" si="3"/>
        <v>0</v>
      </c>
      <c r="H129" s="295"/>
    </row>
    <row r="130" spans="1:8" ht="15" x14ac:dyDescent="0.25">
      <c r="A130" s="26" t="s">
        <v>60</v>
      </c>
      <c r="B130" s="5" t="s">
        <v>61</v>
      </c>
      <c r="C130" s="53" t="s">
        <v>117</v>
      </c>
      <c r="D130" s="274">
        <f>7.3*5-2.4+1.1*10+6</f>
        <v>51.1</v>
      </c>
      <c r="E130" s="9"/>
      <c r="F130" s="9">
        <f t="shared" si="3"/>
        <v>0</v>
      </c>
    </row>
    <row r="131" spans="1:8" s="138" customFormat="1" ht="30" x14ac:dyDescent="0.25">
      <c r="A131" s="26" t="s">
        <v>124</v>
      </c>
      <c r="B131" s="5" t="s">
        <v>119</v>
      </c>
      <c r="C131" s="53" t="s">
        <v>43</v>
      </c>
      <c r="D131" s="274">
        <f>0.2*0.2*3.4*6</f>
        <v>0.81600000000000006</v>
      </c>
      <c r="E131" s="9"/>
      <c r="F131" s="9">
        <f t="shared" si="3"/>
        <v>0</v>
      </c>
      <c r="H131" s="295"/>
    </row>
    <row r="132" spans="1:8" s="138" customFormat="1" ht="30" x14ac:dyDescent="0.25">
      <c r="A132" s="26" t="s">
        <v>125</v>
      </c>
      <c r="B132" s="5" t="s">
        <v>121</v>
      </c>
      <c r="C132" s="53" t="s">
        <v>43</v>
      </c>
      <c r="D132" s="276">
        <f>7.3*4*0.2*0.2</f>
        <v>1.1679999999999999</v>
      </c>
      <c r="E132" s="9"/>
      <c r="F132" s="9">
        <f t="shared" si="3"/>
        <v>0</v>
      </c>
      <c r="H132" s="295"/>
    </row>
    <row r="133" spans="1:8" s="138" customFormat="1" ht="30" x14ac:dyDescent="0.25">
      <c r="A133" s="26" t="s">
        <v>63</v>
      </c>
      <c r="B133" s="5" t="s">
        <v>64</v>
      </c>
      <c r="C133" s="53" t="s">
        <v>50</v>
      </c>
      <c r="D133" s="276">
        <f>7.3*4*3.4-1.2*3.4*2</f>
        <v>91.12</v>
      </c>
      <c r="E133" s="9"/>
      <c r="F133" s="9">
        <f t="shared" si="3"/>
        <v>0</v>
      </c>
      <c r="H133" s="295"/>
    </row>
    <row r="134" spans="1:8" s="138" customFormat="1" ht="30" x14ac:dyDescent="0.25">
      <c r="A134" s="26" t="s">
        <v>127</v>
      </c>
      <c r="B134" s="5" t="s">
        <v>123</v>
      </c>
      <c r="C134" s="53" t="s">
        <v>50</v>
      </c>
      <c r="D134" s="274">
        <f>(7.3*3+1.1*10+6)*2.1-0.8*2.1*12</f>
        <v>61.529999999999994</v>
      </c>
      <c r="E134" s="9"/>
      <c r="F134" s="9">
        <f t="shared" si="3"/>
        <v>0</v>
      </c>
      <c r="H134" s="295"/>
    </row>
    <row r="135" spans="1:8" ht="15" x14ac:dyDescent="0.25">
      <c r="A135" s="26" t="s">
        <v>65</v>
      </c>
      <c r="B135" s="5" t="s">
        <v>66</v>
      </c>
      <c r="C135" s="53" t="s">
        <v>67</v>
      </c>
      <c r="D135" s="274">
        <v>6</v>
      </c>
      <c r="E135" s="9"/>
      <c r="F135" s="9">
        <f t="shared" si="3"/>
        <v>0</v>
      </c>
    </row>
    <row r="136" spans="1:8" s="138" customFormat="1" ht="15" x14ac:dyDescent="0.25">
      <c r="A136" s="26" t="s">
        <v>68</v>
      </c>
      <c r="B136" s="5" t="s">
        <v>69</v>
      </c>
      <c r="C136" s="53" t="s">
        <v>70</v>
      </c>
      <c r="D136" s="276">
        <f>95.87*1.1</f>
        <v>105.45700000000001</v>
      </c>
      <c r="E136" s="9"/>
      <c r="F136" s="9">
        <f t="shared" si="3"/>
        <v>0</v>
      </c>
      <c r="H136" s="295"/>
    </row>
    <row r="137" spans="1:8" s="138" customFormat="1" ht="30" x14ac:dyDescent="0.25">
      <c r="A137" s="26" t="s">
        <v>71</v>
      </c>
      <c r="B137" s="5" t="s">
        <v>126</v>
      </c>
      <c r="C137" s="53" t="s">
        <v>50</v>
      </c>
      <c r="D137" s="274">
        <f>8*8.5*1.15</f>
        <v>78.199999999999989</v>
      </c>
      <c r="E137" s="9"/>
      <c r="F137" s="9">
        <f t="shared" si="3"/>
        <v>0</v>
      </c>
      <c r="H137" s="295"/>
    </row>
    <row r="138" spans="1:8" s="138" customFormat="1" ht="15" x14ac:dyDescent="0.25">
      <c r="A138" s="26" t="s">
        <v>73</v>
      </c>
      <c r="B138" s="5" t="s">
        <v>74</v>
      </c>
      <c r="C138" s="53" t="s">
        <v>70</v>
      </c>
      <c r="D138" s="274">
        <v>8.5</v>
      </c>
      <c r="E138" s="9"/>
      <c r="F138" s="9">
        <f t="shared" si="3"/>
        <v>0</v>
      </c>
      <c r="H138" s="295"/>
    </row>
    <row r="139" spans="1:8" ht="15" x14ac:dyDescent="0.25">
      <c r="A139" s="26" t="s">
        <v>75</v>
      </c>
      <c r="B139" s="5" t="s">
        <v>76</v>
      </c>
      <c r="C139" s="53" t="s">
        <v>70</v>
      </c>
      <c r="D139" s="274">
        <f>8.5+16</f>
        <v>24.5</v>
      </c>
      <c r="E139" s="9"/>
      <c r="F139" s="9">
        <f t="shared" si="3"/>
        <v>0</v>
      </c>
    </row>
    <row r="140" spans="1:8" s="138" customFormat="1" ht="45" x14ac:dyDescent="0.25">
      <c r="A140" s="26" t="s">
        <v>77</v>
      </c>
      <c r="B140" s="5" t="s">
        <v>78</v>
      </c>
      <c r="C140" s="53" t="s">
        <v>79</v>
      </c>
      <c r="D140" s="27">
        <v>1</v>
      </c>
      <c r="E140" s="9"/>
      <c r="F140" s="9">
        <f t="shared" si="3"/>
        <v>0</v>
      </c>
      <c r="H140" s="295"/>
    </row>
    <row r="141" spans="1:8" s="138" customFormat="1" ht="45" x14ac:dyDescent="0.25">
      <c r="A141" s="26" t="s">
        <v>80</v>
      </c>
      <c r="B141" s="5" t="s">
        <v>81</v>
      </c>
      <c r="C141" s="53" t="s">
        <v>50</v>
      </c>
      <c r="D141" s="274">
        <f>D134*2+D133</f>
        <v>214.18</v>
      </c>
      <c r="E141" s="9"/>
      <c r="F141" s="9">
        <f t="shared" si="3"/>
        <v>0</v>
      </c>
      <c r="H141" s="295"/>
    </row>
    <row r="142" spans="1:8" ht="30" x14ac:dyDescent="0.25">
      <c r="A142" s="26" t="s">
        <v>82</v>
      </c>
      <c r="B142" s="5" t="s">
        <v>83</v>
      </c>
      <c r="C142" s="53" t="s">
        <v>50</v>
      </c>
      <c r="D142" s="274">
        <f>D133</f>
        <v>91.12</v>
      </c>
      <c r="E142" s="9"/>
      <c r="F142" s="9">
        <f t="shared" si="3"/>
        <v>0</v>
      </c>
    </row>
    <row r="143" spans="1:8" s="138" customFormat="1" ht="30" x14ac:dyDescent="0.25">
      <c r="A143" s="26" t="s">
        <v>84</v>
      </c>
      <c r="B143" s="5" t="s">
        <v>85</v>
      </c>
      <c r="C143" s="53" t="s">
        <v>26</v>
      </c>
      <c r="D143" s="274">
        <v>1</v>
      </c>
      <c r="E143" s="9"/>
      <c r="F143" s="9">
        <f t="shared" si="3"/>
        <v>0</v>
      </c>
      <c r="H143" s="295"/>
    </row>
    <row r="144" spans="1:8" ht="15" x14ac:dyDescent="0.25">
      <c r="A144" s="26" t="s">
        <v>86</v>
      </c>
      <c r="B144" s="5" t="s">
        <v>90</v>
      </c>
      <c r="C144" s="53" t="s">
        <v>70</v>
      </c>
      <c r="D144" s="274">
        <f>7.3*4</f>
        <v>29.2</v>
      </c>
      <c r="E144" s="9"/>
      <c r="F144" s="9">
        <f t="shared" si="3"/>
        <v>0</v>
      </c>
    </row>
    <row r="145" spans="1:8" ht="30" x14ac:dyDescent="0.25">
      <c r="A145" s="26" t="s">
        <v>89</v>
      </c>
      <c r="B145" s="5" t="s">
        <v>92</v>
      </c>
      <c r="C145" s="53" t="s">
        <v>43</v>
      </c>
      <c r="D145" s="274">
        <f>8*8.5*0.05</f>
        <v>3.4000000000000004</v>
      </c>
      <c r="E145" s="9"/>
      <c r="F145" s="9">
        <f t="shared" si="3"/>
        <v>0</v>
      </c>
    </row>
    <row r="146" spans="1:8" ht="15" x14ac:dyDescent="0.25">
      <c r="A146" s="26" t="s">
        <v>91</v>
      </c>
      <c r="B146" s="5" t="s">
        <v>94</v>
      </c>
      <c r="C146" s="53" t="s">
        <v>50</v>
      </c>
      <c r="D146" s="274">
        <f>7.3*7.3</f>
        <v>53.29</v>
      </c>
      <c r="E146" s="9"/>
      <c r="F146" s="9">
        <f t="shared" si="3"/>
        <v>0</v>
      </c>
    </row>
    <row r="147" spans="1:8" ht="15" x14ac:dyDescent="0.25">
      <c r="A147" s="26" t="s">
        <v>93</v>
      </c>
      <c r="B147" s="5" t="s">
        <v>96</v>
      </c>
      <c r="C147" s="53" t="s">
        <v>50</v>
      </c>
      <c r="D147" s="274">
        <f>8*8.5-D146</f>
        <v>14.71</v>
      </c>
      <c r="E147" s="9"/>
      <c r="F147" s="9">
        <f t="shared" si="3"/>
        <v>0</v>
      </c>
    </row>
    <row r="148" spans="1:8" s="138" customFormat="1" ht="45" x14ac:dyDescent="0.25">
      <c r="A148" s="26" t="s">
        <v>95</v>
      </c>
      <c r="B148" s="5" t="s">
        <v>129</v>
      </c>
      <c r="C148" s="53" t="s">
        <v>88</v>
      </c>
      <c r="D148" s="274">
        <v>12</v>
      </c>
      <c r="E148" s="9"/>
      <c r="F148" s="9">
        <f t="shared" si="3"/>
        <v>0</v>
      </c>
      <c r="H148" s="295"/>
    </row>
    <row r="149" spans="1:8" s="140" customFormat="1" ht="30" x14ac:dyDescent="0.25">
      <c r="A149" s="26" t="s">
        <v>135</v>
      </c>
      <c r="B149" s="5" t="s">
        <v>131</v>
      </c>
      <c r="C149" s="53" t="s">
        <v>88</v>
      </c>
      <c r="D149" s="274">
        <v>18</v>
      </c>
      <c r="E149" s="9"/>
      <c r="F149" s="9">
        <f t="shared" si="3"/>
        <v>0</v>
      </c>
      <c r="H149" s="298"/>
    </row>
    <row r="150" spans="1:8" s="142" customFormat="1" ht="15" x14ac:dyDescent="0.25">
      <c r="A150" s="26" t="s">
        <v>107</v>
      </c>
      <c r="B150" s="5" t="s">
        <v>106</v>
      </c>
      <c r="C150" s="53" t="s">
        <v>26</v>
      </c>
      <c r="D150" s="274">
        <v>1</v>
      </c>
      <c r="E150" s="9"/>
      <c r="F150" s="9">
        <f t="shared" si="3"/>
        <v>0</v>
      </c>
      <c r="H150" s="297"/>
    </row>
    <row r="151" spans="1:8" ht="30" x14ac:dyDescent="0.25">
      <c r="A151" s="26" t="s">
        <v>161</v>
      </c>
      <c r="B151" s="5" t="s">
        <v>108</v>
      </c>
      <c r="C151" s="53" t="s">
        <v>50</v>
      </c>
      <c r="D151" s="274">
        <f>D141</f>
        <v>214.18</v>
      </c>
      <c r="E151" s="9"/>
      <c r="F151" s="9">
        <f t="shared" si="3"/>
        <v>0</v>
      </c>
    </row>
    <row r="152" spans="1:8" s="138" customFormat="1" ht="60" x14ac:dyDescent="0.25">
      <c r="A152" s="26" t="s">
        <v>109</v>
      </c>
      <c r="B152" s="5" t="s">
        <v>133</v>
      </c>
      <c r="C152" s="53" t="s">
        <v>55</v>
      </c>
      <c r="D152" s="274">
        <v>12</v>
      </c>
      <c r="E152" s="9"/>
      <c r="F152" s="9">
        <f t="shared" si="3"/>
        <v>0</v>
      </c>
      <c r="H152" s="295"/>
    </row>
    <row r="153" spans="1:8" ht="30" x14ac:dyDescent="0.25">
      <c r="A153" s="26" t="s">
        <v>163</v>
      </c>
      <c r="B153" s="5" t="s">
        <v>136</v>
      </c>
      <c r="C153" s="53" t="s">
        <v>70</v>
      </c>
      <c r="D153" s="274">
        <v>30</v>
      </c>
      <c r="E153" s="9"/>
      <c r="F153" s="9">
        <f t="shared" si="3"/>
        <v>0</v>
      </c>
    </row>
    <row r="154" spans="1:8" ht="75" x14ac:dyDescent="0.25">
      <c r="A154" s="26" t="s">
        <v>164</v>
      </c>
      <c r="B154" s="5" t="s">
        <v>137</v>
      </c>
      <c r="C154" s="53" t="s">
        <v>70</v>
      </c>
      <c r="D154" s="274">
        <v>20</v>
      </c>
      <c r="E154" s="9"/>
      <c r="F154" s="9">
        <f t="shared" si="3"/>
        <v>0</v>
      </c>
    </row>
    <row r="155" spans="1:8" s="140" customFormat="1" ht="30" x14ac:dyDescent="0.25">
      <c r="A155" s="26" t="s">
        <v>111</v>
      </c>
      <c r="B155" s="5" t="s">
        <v>138</v>
      </c>
      <c r="C155" s="53" t="s">
        <v>55</v>
      </c>
      <c r="D155" s="274">
        <v>4</v>
      </c>
      <c r="E155" s="9"/>
      <c r="F155" s="9">
        <f t="shared" si="3"/>
        <v>0</v>
      </c>
      <c r="H155" s="298"/>
    </row>
    <row r="156" spans="1:8" s="140" customFormat="1" ht="15" x14ac:dyDescent="0.25">
      <c r="A156" s="26" t="s">
        <v>165</v>
      </c>
      <c r="B156" s="37" t="s">
        <v>139</v>
      </c>
      <c r="C156" s="129" t="s">
        <v>43</v>
      </c>
      <c r="D156" s="277">
        <v>10.8</v>
      </c>
      <c r="E156" s="39"/>
      <c r="F156" s="48">
        <f t="shared" si="3"/>
        <v>0</v>
      </c>
      <c r="H156" s="298"/>
    </row>
    <row r="157" spans="1:8" s="161" customFormat="1" ht="30" x14ac:dyDescent="0.25">
      <c r="A157" s="26" t="s">
        <v>169</v>
      </c>
      <c r="B157" s="5" t="s">
        <v>112</v>
      </c>
      <c r="C157" s="53" t="s">
        <v>43</v>
      </c>
      <c r="D157" s="274">
        <f>4*2.9*0.1</f>
        <v>1.1599999999999999</v>
      </c>
      <c r="E157" s="9"/>
      <c r="F157" s="9">
        <f t="shared" si="3"/>
        <v>0</v>
      </c>
      <c r="H157" s="312"/>
    </row>
    <row r="158" spans="1:8" ht="15" x14ac:dyDescent="0.25">
      <c r="A158" s="58"/>
      <c r="B158" s="59" t="s">
        <v>113</v>
      </c>
      <c r="C158" s="60"/>
      <c r="D158" s="278"/>
      <c r="E158" s="61"/>
      <c r="F158" s="61">
        <f>SUM(F115:F157)</f>
        <v>0</v>
      </c>
    </row>
    <row r="159" spans="1:8" s="138" customFormat="1" ht="18.75" x14ac:dyDescent="0.25">
      <c r="A159" s="64"/>
      <c r="B159" s="37" t="s">
        <v>183</v>
      </c>
      <c r="C159" s="65"/>
      <c r="D159" s="324"/>
      <c r="E159" s="67"/>
      <c r="F159" s="68"/>
      <c r="H159" s="295"/>
    </row>
    <row r="160" spans="1:8" s="138" customFormat="1" ht="15" x14ac:dyDescent="0.25">
      <c r="A160" s="147">
        <v>57</v>
      </c>
      <c r="B160" s="148" t="s">
        <v>141</v>
      </c>
      <c r="C160" s="306" t="s">
        <v>50</v>
      </c>
      <c r="D160" s="280">
        <v>4.1500000000000004</v>
      </c>
      <c r="E160" s="307"/>
      <c r="F160" s="9">
        <f t="shared" ref="F160:F174" si="4">D160*E160</f>
        <v>0</v>
      </c>
      <c r="H160" s="295"/>
    </row>
    <row r="161" spans="1:8" s="138" customFormat="1" ht="30" x14ac:dyDescent="0.25">
      <c r="A161" s="147">
        <v>58</v>
      </c>
      <c r="B161" s="150" t="s">
        <v>142</v>
      </c>
      <c r="C161" s="308" t="s">
        <v>43</v>
      </c>
      <c r="D161" s="281">
        <v>3.01</v>
      </c>
      <c r="E161" s="309"/>
      <c r="F161" s="9">
        <f t="shared" si="4"/>
        <v>0</v>
      </c>
      <c r="H161" s="295"/>
    </row>
    <row r="162" spans="1:8" ht="30" x14ac:dyDescent="0.25">
      <c r="A162" s="147">
        <v>59</v>
      </c>
      <c r="B162" s="150" t="s">
        <v>143</v>
      </c>
      <c r="C162" s="308" t="s">
        <v>50</v>
      </c>
      <c r="D162" s="281">
        <v>2.54</v>
      </c>
      <c r="E162" s="309"/>
      <c r="F162" s="9">
        <f t="shared" si="4"/>
        <v>0</v>
      </c>
    </row>
    <row r="163" spans="1:8" ht="30" x14ac:dyDescent="0.25">
      <c r="A163" s="147">
        <v>60</v>
      </c>
      <c r="B163" s="150" t="s">
        <v>144</v>
      </c>
      <c r="C163" s="308" t="s">
        <v>145</v>
      </c>
      <c r="D163" s="281">
        <v>1</v>
      </c>
      <c r="E163" s="309"/>
      <c r="F163" s="9">
        <f t="shared" si="4"/>
        <v>0</v>
      </c>
    </row>
    <row r="164" spans="1:8" ht="45" x14ac:dyDescent="0.25">
      <c r="A164" s="147">
        <v>61</v>
      </c>
      <c r="B164" s="150" t="s">
        <v>146</v>
      </c>
      <c r="C164" s="308" t="s">
        <v>43</v>
      </c>
      <c r="D164" s="281">
        <v>0.2</v>
      </c>
      <c r="E164" s="309"/>
      <c r="F164" s="9">
        <f t="shared" si="4"/>
        <v>0</v>
      </c>
    </row>
    <row r="165" spans="1:8" ht="30" x14ac:dyDescent="0.25">
      <c r="A165" s="147">
        <v>62</v>
      </c>
      <c r="B165" s="150" t="s">
        <v>147</v>
      </c>
      <c r="C165" s="308" t="s">
        <v>50</v>
      </c>
      <c r="D165" s="281">
        <v>2</v>
      </c>
      <c r="E165" s="309"/>
      <c r="F165" s="9">
        <f t="shared" si="4"/>
        <v>0</v>
      </c>
    </row>
    <row r="166" spans="1:8" s="138" customFormat="1" ht="30" x14ac:dyDescent="0.25">
      <c r="A166" s="147">
        <v>63</v>
      </c>
      <c r="B166" s="150" t="s">
        <v>148</v>
      </c>
      <c r="C166" s="308" t="s">
        <v>50</v>
      </c>
      <c r="D166" s="281">
        <v>5.0199999999999996</v>
      </c>
      <c r="E166" s="309"/>
      <c r="F166" s="9">
        <f t="shared" si="4"/>
        <v>0</v>
      </c>
      <c r="H166" s="295"/>
    </row>
    <row r="167" spans="1:8" s="138" customFormat="1" ht="30" x14ac:dyDescent="0.25">
      <c r="A167" s="147">
        <v>64</v>
      </c>
      <c r="B167" s="150" t="s">
        <v>149</v>
      </c>
      <c r="C167" s="308" t="s">
        <v>70</v>
      </c>
      <c r="D167" s="281">
        <v>6</v>
      </c>
      <c r="E167" s="309"/>
      <c r="F167" s="9">
        <f t="shared" si="4"/>
        <v>0</v>
      </c>
      <c r="H167" s="295"/>
    </row>
    <row r="168" spans="1:8" s="138" customFormat="1" ht="30" x14ac:dyDescent="0.25">
      <c r="A168" s="147">
        <v>65</v>
      </c>
      <c r="B168" s="150" t="s">
        <v>150</v>
      </c>
      <c r="C168" s="308" t="s">
        <v>88</v>
      </c>
      <c r="D168" s="281">
        <v>1</v>
      </c>
      <c r="E168" s="309"/>
      <c r="F168" s="9">
        <f t="shared" si="4"/>
        <v>0</v>
      </c>
      <c r="H168" s="295"/>
    </row>
    <row r="169" spans="1:8" s="138" customFormat="1" ht="30" x14ac:dyDescent="0.25">
      <c r="A169" s="147">
        <v>66</v>
      </c>
      <c r="B169" s="150" t="s">
        <v>151</v>
      </c>
      <c r="C169" s="308" t="s">
        <v>88</v>
      </c>
      <c r="D169" s="281">
        <v>1</v>
      </c>
      <c r="E169" s="309"/>
      <c r="F169" s="9">
        <f t="shared" si="4"/>
        <v>0</v>
      </c>
      <c r="H169" s="295"/>
    </row>
    <row r="170" spans="1:8" s="138" customFormat="1" ht="15" x14ac:dyDescent="0.25">
      <c r="A170" s="147">
        <v>67</v>
      </c>
      <c r="B170" s="150" t="s">
        <v>152</v>
      </c>
      <c r="C170" s="308" t="s">
        <v>43</v>
      </c>
      <c r="D170" s="281">
        <v>3.93</v>
      </c>
      <c r="E170" s="309"/>
      <c r="F170" s="9">
        <f t="shared" si="4"/>
        <v>0</v>
      </c>
      <c r="H170" s="295"/>
    </row>
    <row r="171" spans="1:8" ht="15" x14ac:dyDescent="0.25">
      <c r="A171" s="147">
        <v>68</v>
      </c>
      <c r="B171" s="150" t="s">
        <v>153</v>
      </c>
      <c r="C171" s="308" t="s">
        <v>43</v>
      </c>
      <c r="D171" s="281">
        <v>3.93</v>
      </c>
      <c r="E171" s="309"/>
      <c r="F171" s="9">
        <f t="shared" si="4"/>
        <v>0</v>
      </c>
    </row>
    <row r="172" spans="1:8" s="138" customFormat="1" ht="45" x14ac:dyDescent="0.25">
      <c r="A172" s="147">
        <v>69</v>
      </c>
      <c r="B172" s="150" t="s">
        <v>154</v>
      </c>
      <c r="C172" s="308" t="s">
        <v>43</v>
      </c>
      <c r="D172" s="281">
        <v>1.22</v>
      </c>
      <c r="E172" s="309"/>
      <c r="F172" s="9">
        <f t="shared" si="4"/>
        <v>0</v>
      </c>
      <c r="H172" s="295"/>
    </row>
    <row r="173" spans="1:8" s="138" customFormat="1" ht="30" x14ac:dyDescent="0.25">
      <c r="A173" s="147">
        <v>70</v>
      </c>
      <c r="B173" s="150" t="s">
        <v>143</v>
      </c>
      <c r="C173" s="308" t="s">
        <v>50</v>
      </c>
      <c r="D173" s="281">
        <v>1.22</v>
      </c>
      <c r="E173" s="309"/>
      <c r="F173" s="9">
        <f t="shared" si="4"/>
        <v>0</v>
      </c>
      <c r="H173" s="295"/>
    </row>
    <row r="174" spans="1:8" ht="60" x14ac:dyDescent="0.25">
      <c r="A174" s="147">
        <v>71</v>
      </c>
      <c r="B174" s="153" t="s">
        <v>155</v>
      </c>
      <c r="C174" s="310" t="s">
        <v>50</v>
      </c>
      <c r="D174" s="282">
        <v>130</v>
      </c>
      <c r="E174" s="311"/>
      <c r="F174" s="9">
        <f t="shared" si="4"/>
        <v>0</v>
      </c>
    </row>
    <row r="175" spans="1:8" ht="15" x14ac:dyDescent="0.25">
      <c r="A175" s="59"/>
      <c r="B175" s="59" t="s">
        <v>170</v>
      </c>
      <c r="C175" s="69"/>
      <c r="D175" s="325"/>
      <c r="E175" s="70"/>
      <c r="F175" s="71">
        <f>SUM(F160:F174)</f>
        <v>0</v>
      </c>
    </row>
    <row r="176" spans="1:8" ht="15" x14ac:dyDescent="0.25">
      <c r="A176" s="59"/>
      <c r="B176" s="59" t="s">
        <v>181</v>
      </c>
      <c r="C176" s="69"/>
      <c r="D176" s="325"/>
      <c r="E176" s="70"/>
      <c r="F176" s="71">
        <f>F175*2</f>
        <v>0</v>
      </c>
    </row>
    <row r="177" spans="1:6" ht="39" x14ac:dyDescent="0.25">
      <c r="A177" s="143"/>
      <c r="B177" s="143" t="s">
        <v>172</v>
      </c>
      <c r="C177" s="144"/>
      <c r="D177" s="322"/>
      <c r="E177" s="299"/>
      <c r="F177" s="62">
        <f>SUM(F176+F158)</f>
        <v>0</v>
      </c>
    </row>
    <row r="178" spans="1:6" ht="36.950000000000003" customHeight="1" x14ac:dyDescent="0.25">
      <c r="A178" s="313" t="s">
        <v>173</v>
      </c>
      <c r="B178" s="314"/>
      <c r="C178" s="314"/>
      <c r="D178" s="326"/>
      <c r="E178" s="315"/>
      <c r="F178" s="72">
        <f>F177+F113+F45</f>
        <v>0</v>
      </c>
    </row>
  </sheetData>
  <sheetProtection algorithmName="SHA-512" hashValue="NcAo9z0UOMXAQ9/tevxziu1Pvj7/Tyfi+SrxM5ID+xS8Imk7lQ+FskNlNb4cUljPpRc+UqM4cHi+uFzMYhuwtg==" saltValue="eGqeV/01GJ4aXV/I21axBA==" spinCount="100000" sheet="1" objects="1" scenarios="1"/>
  <mergeCells count="1">
    <mergeCell ref="B2:C2"/>
  </mergeCells>
  <phoneticPr fontId="16" type="noConversion"/>
  <pageMargins left="0.46" right="0.34" top="0.47" bottom="0.38" header="0.3" footer="0.19"/>
  <pageSetup scale="85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topLeftCell="A67" zoomScale="90" zoomScaleNormal="90" workbookViewId="0">
      <selection activeCell="G72" sqref="G72"/>
    </sheetView>
  </sheetViews>
  <sheetFormatPr defaultRowHeight="50.45" customHeight="1" x14ac:dyDescent="0.25"/>
  <cols>
    <col min="1" max="1" width="3.85546875" style="131" customWidth="1"/>
    <col min="2" max="2" width="43.42578125" style="132" customWidth="1"/>
    <col min="3" max="3" width="16.85546875" style="132" customWidth="1"/>
    <col min="4" max="4" width="17.140625" style="286" customWidth="1"/>
    <col min="5" max="5" width="15.85546875" style="132" customWidth="1"/>
    <col min="6" max="6" width="17.42578125" style="132" bestFit="1" customWidth="1"/>
    <col min="7" max="7" width="58.85546875" style="132" customWidth="1"/>
    <col min="8" max="8" width="10" style="132" customWidth="1"/>
    <col min="9" max="9" width="17.5703125" style="132" customWidth="1"/>
    <col min="10" max="10" width="16" style="132" customWidth="1"/>
    <col min="11" max="16384" width="9.140625" style="132"/>
  </cols>
  <sheetData>
    <row r="1" spans="1:6" ht="36" customHeight="1" x14ac:dyDescent="0.25">
      <c r="B1" s="166" t="s">
        <v>184</v>
      </c>
      <c r="C1" s="166"/>
      <c r="D1" s="270"/>
      <c r="E1" s="166"/>
      <c r="F1" s="166"/>
    </row>
    <row r="2" spans="1:6" s="133" customFormat="1" ht="39.75" customHeight="1" x14ac:dyDescent="0.35">
      <c r="B2" s="355" t="s">
        <v>185</v>
      </c>
      <c r="C2" s="355"/>
      <c r="D2" s="271"/>
      <c r="E2" s="268"/>
      <c r="F2" s="268"/>
    </row>
    <row r="3" spans="1:6" s="138" customFormat="1" ht="30" customHeight="1" x14ac:dyDescent="0.25">
      <c r="A3" s="257" t="s">
        <v>186</v>
      </c>
      <c r="B3" s="258"/>
      <c r="C3" s="259"/>
      <c r="D3" s="272"/>
      <c r="E3" s="259"/>
      <c r="F3" s="260"/>
    </row>
    <row r="4" spans="1:6" s="138" customFormat="1" ht="15" x14ac:dyDescent="0.25">
      <c r="A4" s="261" t="s">
        <v>18</v>
      </c>
      <c r="B4" s="262" t="s">
        <v>19</v>
      </c>
      <c r="C4" s="262" t="s">
        <v>20</v>
      </c>
      <c r="D4" s="273" t="s">
        <v>21</v>
      </c>
      <c r="E4" s="263" t="s">
        <v>22</v>
      </c>
      <c r="F4" s="263" t="s">
        <v>23</v>
      </c>
    </row>
    <row r="5" spans="1:6" ht="15" x14ac:dyDescent="0.25">
      <c r="A5" s="4" t="s">
        <v>24</v>
      </c>
      <c r="B5" s="28" t="s">
        <v>25</v>
      </c>
      <c r="C5" s="31" t="s">
        <v>26</v>
      </c>
      <c r="D5" s="274">
        <v>1</v>
      </c>
      <c r="E5" s="29"/>
      <c r="F5" s="8">
        <f t="shared" ref="F5:F55" si="0">D5*E5</f>
        <v>0</v>
      </c>
    </row>
    <row r="6" spans="1:6" s="138" customFormat="1" ht="18" x14ac:dyDescent="0.25">
      <c r="A6" s="4" t="s">
        <v>27</v>
      </c>
      <c r="B6" s="28" t="s">
        <v>28</v>
      </c>
      <c r="C6" s="31" t="s">
        <v>159</v>
      </c>
      <c r="D6" s="274">
        <f>11.7*9</f>
        <v>105.3</v>
      </c>
      <c r="E6" s="30"/>
      <c r="F6" s="8">
        <f t="shared" si="0"/>
        <v>0</v>
      </c>
    </row>
    <row r="7" spans="1:6" s="138" customFormat="1" ht="18" x14ac:dyDescent="0.25">
      <c r="A7" s="4" t="s">
        <v>30</v>
      </c>
      <c r="B7" s="28" t="s">
        <v>31</v>
      </c>
      <c r="C7" s="31" t="s">
        <v>160</v>
      </c>
      <c r="D7" s="274">
        <f>D6*0.5</f>
        <v>52.65</v>
      </c>
      <c r="E7" s="29"/>
      <c r="F7" s="8">
        <f t="shared" si="0"/>
        <v>0</v>
      </c>
    </row>
    <row r="8" spans="1:6" s="138" customFormat="1" ht="45" x14ac:dyDescent="0.25">
      <c r="A8" s="4" t="s">
        <v>33</v>
      </c>
      <c r="B8" s="28" t="s">
        <v>34</v>
      </c>
      <c r="C8" s="31" t="s">
        <v>160</v>
      </c>
      <c r="D8" s="274">
        <f>14.9*5.9*3</f>
        <v>263.73</v>
      </c>
      <c r="E8" s="30"/>
      <c r="F8" s="8">
        <f>D8*E8</f>
        <v>0</v>
      </c>
    </row>
    <row r="9" spans="1:6" ht="18" x14ac:dyDescent="0.25">
      <c r="A9" s="4" t="s">
        <v>35</v>
      </c>
      <c r="B9" s="2" t="s">
        <v>36</v>
      </c>
      <c r="C9" s="31" t="s">
        <v>160</v>
      </c>
      <c r="D9" s="275">
        <f>(10.5+2.9)*1.5*3</f>
        <v>60.300000000000004</v>
      </c>
      <c r="E9" s="8"/>
      <c r="F9" s="8">
        <f t="shared" si="0"/>
        <v>0</v>
      </c>
    </row>
    <row r="10" spans="1:6" s="138" customFormat="1" ht="18" x14ac:dyDescent="0.25">
      <c r="A10" s="4" t="s">
        <v>37</v>
      </c>
      <c r="B10" s="2" t="s">
        <v>38</v>
      </c>
      <c r="C10" s="31" t="s">
        <v>160</v>
      </c>
      <c r="D10" s="274">
        <f>D7+D8-D9</f>
        <v>256.08</v>
      </c>
      <c r="E10" s="8"/>
      <c r="F10" s="8">
        <f t="shared" si="0"/>
        <v>0</v>
      </c>
    </row>
    <row r="11" spans="1:6" s="138" customFormat="1" ht="45" x14ac:dyDescent="0.25">
      <c r="A11" s="4" t="s">
        <v>39</v>
      </c>
      <c r="B11" s="2" t="s">
        <v>40</v>
      </c>
      <c r="C11" s="31" t="s">
        <v>160</v>
      </c>
      <c r="D11" s="274">
        <f>(10.1+2.5)*2*0.4*0.05</f>
        <v>0.504</v>
      </c>
      <c r="E11" s="8"/>
      <c r="F11" s="8">
        <f t="shared" si="0"/>
        <v>0</v>
      </c>
    </row>
    <row r="12" spans="1:6" s="138" customFormat="1" ht="45" x14ac:dyDescent="0.25">
      <c r="A12" s="4" t="s">
        <v>41</v>
      </c>
      <c r="B12" s="2" t="s">
        <v>42</v>
      </c>
      <c r="C12" s="3" t="s">
        <v>43</v>
      </c>
      <c r="D12" s="274">
        <f>(10.1+2.5)*2*0.4*3</f>
        <v>30.240000000000002</v>
      </c>
      <c r="E12" s="8"/>
      <c r="F12" s="8">
        <f t="shared" si="0"/>
        <v>0</v>
      </c>
    </row>
    <row r="13" spans="1:6" s="138" customFormat="1" ht="15" x14ac:dyDescent="0.25">
      <c r="A13" s="4" t="s">
        <v>44</v>
      </c>
      <c r="B13" s="2" t="s">
        <v>45</v>
      </c>
      <c r="C13" s="3" t="s">
        <v>43</v>
      </c>
      <c r="D13" s="274">
        <f>(10.1+2.5)*2*0.4*0.05</f>
        <v>0.504</v>
      </c>
      <c r="E13" s="8"/>
      <c r="F13" s="8">
        <f t="shared" si="0"/>
        <v>0</v>
      </c>
    </row>
    <row r="14" spans="1:6" ht="15" x14ac:dyDescent="0.25">
      <c r="A14" s="4" t="s">
        <v>46</v>
      </c>
      <c r="B14" s="2" t="s">
        <v>47</v>
      </c>
      <c r="C14" s="3" t="s">
        <v>43</v>
      </c>
      <c r="D14" s="274">
        <f>(10.1+2.5)*2*0.2*0.25*3</f>
        <v>3.7800000000000002</v>
      </c>
      <c r="E14" s="8"/>
      <c r="F14" s="8">
        <f t="shared" si="0"/>
        <v>0</v>
      </c>
    </row>
    <row r="15" spans="1:6" s="138" customFormat="1" ht="30" x14ac:dyDescent="0.25">
      <c r="A15" s="4" t="s">
        <v>48</v>
      </c>
      <c r="B15" s="2" t="s">
        <v>49</v>
      </c>
      <c r="C15" s="3" t="s">
        <v>50</v>
      </c>
      <c r="D15" s="274">
        <f>(9.7+2.1)*2*3</f>
        <v>70.8</v>
      </c>
      <c r="E15" s="8"/>
      <c r="F15" s="8">
        <f t="shared" si="0"/>
        <v>0</v>
      </c>
    </row>
    <row r="16" spans="1:6" ht="30" x14ac:dyDescent="0.25">
      <c r="A16" s="4" t="s">
        <v>51</v>
      </c>
      <c r="B16" s="2" t="s">
        <v>52</v>
      </c>
      <c r="C16" s="3" t="s">
        <v>43</v>
      </c>
      <c r="D16" s="274">
        <f>9.7*2.1*0.3</f>
        <v>6.1109999999999998</v>
      </c>
      <c r="E16" s="8"/>
      <c r="F16" s="8">
        <f t="shared" si="0"/>
        <v>0</v>
      </c>
    </row>
    <row r="17" spans="1:6" s="138" customFormat="1" ht="45" x14ac:dyDescent="0.25">
      <c r="A17" s="4" t="s">
        <v>53</v>
      </c>
      <c r="B17" s="2" t="s">
        <v>54</v>
      </c>
      <c r="C17" s="3" t="s">
        <v>55</v>
      </c>
      <c r="D17" s="274">
        <v>1</v>
      </c>
      <c r="E17" s="8"/>
      <c r="F17" s="8">
        <f t="shared" si="0"/>
        <v>0</v>
      </c>
    </row>
    <row r="18" spans="1:6" s="138" customFormat="1" ht="30" x14ac:dyDescent="0.25">
      <c r="A18" s="4" t="s">
        <v>56</v>
      </c>
      <c r="B18" s="2" t="s">
        <v>57</v>
      </c>
      <c r="C18" s="3" t="s">
        <v>43</v>
      </c>
      <c r="D18" s="274">
        <f>10.7*8*0.15-D19</f>
        <v>12.704999999999998</v>
      </c>
      <c r="E18" s="8"/>
      <c r="F18" s="8">
        <f t="shared" si="0"/>
        <v>0</v>
      </c>
    </row>
    <row r="19" spans="1:6" s="138" customFormat="1" ht="30" x14ac:dyDescent="0.25">
      <c r="A19" s="4" t="s">
        <v>58</v>
      </c>
      <c r="B19" s="2" t="s">
        <v>59</v>
      </c>
      <c r="C19" s="3" t="s">
        <v>50</v>
      </c>
      <c r="D19" s="274">
        <f>1.5*0.6*0.15</f>
        <v>0.13499999999999998</v>
      </c>
      <c r="E19" s="8"/>
      <c r="F19" s="8">
        <f t="shared" si="0"/>
        <v>0</v>
      </c>
    </row>
    <row r="20" spans="1:6" ht="15" x14ac:dyDescent="0.25">
      <c r="A20" s="4" t="s">
        <v>60</v>
      </c>
      <c r="B20" s="2" t="s">
        <v>61</v>
      </c>
      <c r="C20" s="3" t="s">
        <v>62</v>
      </c>
      <c r="D20" s="274">
        <f>7.3*5-2.4+1.1*10+6+6-0.9</f>
        <v>56.2</v>
      </c>
      <c r="E20" s="8"/>
      <c r="F20" s="8">
        <f t="shared" si="0"/>
        <v>0</v>
      </c>
    </row>
    <row r="21" spans="1:6" s="138" customFormat="1" ht="30" x14ac:dyDescent="0.25">
      <c r="A21" s="4" t="s">
        <v>124</v>
      </c>
      <c r="B21" s="2" t="s">
        <v>119</v>
      </c>
      <c r="C21" s="3" t="s">
        <v>43</v>
      </c>
      <c r="D21" s="274">
        <f>0.2*0.2*3.4*6</f>
        <v>0.81600000000000006</v>
      </c>
      <c r="E21" s="8"/>
      <c r="F21" s="8">
        <f t="shared" si="0"/>
        <v>0</v>
      </c>
    </row>
    <row r="22" spans="1:6" s="138" customFormat="1" ht="30" x14ac:dyDescent="0.25">
      <c r="A22" s="4" t="s">
        <v>125</v>
      </c>
      <c r="B22" s="2" t="s">
        <v>121</v>
      </c>
      <c r="C22" s="3" t="s">
        <v>43</v>
      </c>
      <c r="D22" s="276">
        <f>(7.3*4+6)*0.2*0.2</f>
        <v>1.4080000000000004</v>
      </c>
      <c r="E22" s="8"/>
      <c r="F22" s="8">
        <f t="shared" si="0"/>
        <v>0</v>
      </c>
    </row>
    <row r="23" spans="1:6" s="138" customFormat="1" ht="30" x14ac:dyDescent="0.25">
      <c r="A23" s="4" t="s">
        <v>63</v>
      </c>
      <c r="B23" s="2" t="s">
        <v>64</v>
      </c>
      <c r="C23" s="3" t="s">
        <v>50</v>
      </c>
      <c r="D23" s="276">
        <f>(7.3*4+4)*3.4-1.2*3.4*3</f>
        <v>100.64000000000001</v>
      </c>
      <c r="E23" s="8"/>
      <c r="F23" s="8">
        <f t="shared" si="0"/>
        <v>0</v>
      </c>
    </row>
    <row r="24" spans="1:6" s="138" customFormat="1" ht="30" x14ac:dyDescent="0.25">
      <c r="A24" s="4" t="s">
        <v>127</v>
      </c>
      <c r="B24" s="2" t="s">
        <v>123</v>
      </c>
      <c r="C24" s="3" t="s">
        <v>50</v>
      </c>
      <c r="D24" s="274">
        <f>(7.3*3+1.1*10+6+2.1)*2.1-0.8*2.1*12</f>
        <v>65.94</v>
      </c>
      <c r="E24" s="8"/>
      <c r="F24" s="8">
        <f t="shared" si="0"/>
        <v>0</v>
      </c>
    </row>
    <row r="25" spans="1:6" ht="15" x14ac:dyDescent="0.25">
      <c r="A25" s="4" t="s">
        <v>65</v>
      </c>
      <c r="B25" s="2" t="s">
        <v>66</v>
      </c>
      <c r="C25" s="3" t="s">
        <v>67</v>
      </c>
      <c r="D25" s="274">
        <v>7</v>
      </c>
      <c r="E25" s="8"/>
      <c r="F25" s="8">
        <f t="shared" si="0"/>
        <v>0</v>
      </c>
    </row>
    <row r="26" spans="1:6" s="138" customFormat="1" ht="15" x14ac:dyDescent="0.25">
      <c r="A26" s="4" t="s">
        <v>68</v>
      </c>
      <c r="B26" s="2" t="s">
        <v>69</v>
      </c>
      <c r="C26" s="3" t="s">
        <v>70</v>
      </c>
      <c r="D26" s="276">
        <f>95.87*1.3</f>
        <v>124.63100000000001</v>
      </c>
      <c r="E26" s="8"/>
      <c r="F26" s="8">
        <f t="shared" si="0"/>
        <v>0</v>
      </c>
    </row>
    <row r="27" spans="1:6" s="138" customFormat="1" ht="30" x14ac:dyDescent="0.25">
      <c r="A27" s="4" t="s">
        <v>71</v>
      </c>
      <c r="B27" s="2" t="s">
        <v>126</v>
      </c>
      <c r="C27" s="3" t="s">
        <v>50</v>
      </c>
      <c r="D27" s="274">
        <f>10.7*8*1.15</f>
        <v>98.439999999999984</v>
      </c>
      <c r="E27" s="8"/>
      <c r="F27" s="8">
        <f t="shared" si="0"/>
        <v>0</v>
      </c>
    </row>
    <row r="28" spans="1:6" s="138" customFormat="1" ht="15" x14ac:dyDescent="0.25">
      <c r="A28" s="4" t="s">
        <v>73</v>
      </c>
      <c r="B28" s="2" t="s">
        <v>74</v>
      </c>
      <c r="C28" s="3" t="s">
        <v>70</v>
      </c>
      <c r="D28" s="274">
        <v>10.7</v>
      </c>
      <c r="E28" s="8"/>
      <c r="F28" s="8">
        <f t="shared" si="0"/>
        <v>0</v>
      </c>
    </row>
    <row r="29" spans="1:6" ht="15" x14ac:dyDescent="0.25">
      <c r="A29" s="4" t="s">
        <v>75</v>
      </c>
      <c r="B29" s="2" t="s">
        <v>76</v>
      </c>
      <c r="C29" s="3" t="s">
        <v>70</v>
      </c>
      <c r="D29" s="274">
        <f>10.7+16</f>
        <v>26.7</v>
      </c>
      <c r="E29" s="8"/>
      <c r="F29" s="8">
        <f t="shared" si="0"/>
        <v>0</v>
      </c>
    </row>
    <row r="30" spans="1:6" s="138" customFormat="1" ht="45" x14ac:dyDescent="0.25">
      <c r="A30" s="4" t="s">
        <v>77</v>
      </c>
      <c r="B30" s="2" t="s">
        <v>78</v>
      </c>
      <c r="C30" s="3" t="s">
        <v>79</v>
      </c>
      <c r="D30" s="1">
        <v>1</v>
      </c>
      <c r="E30" s="8"/>
      <c r="F30" s="8">
        <f t="shared" si="0"/>
        <v>0</v>
      </c>
    </row>
    <row r="31" spans="1:6" s="138" customFormat="1" ht="45" x14ac:dyDescent="0.25">
      <c r="A31" s="4" t="s">
        <v>80</v>
      </c>
      <c r="B31" s="2" t="s">
        <v>81</v>
      </c>
      <c r="C31" s="3" t="s">
        <v>50</v>
      </c>
      <c r="D31" s="274">
        <f>D24*2+D23</f>
        <v>232.52</v>
      </c>
      <c r="E31" s="8"/>
      <c r="F31" s="8">
        <f t="shared" si="0"/>
        <v>0</v>
      </c>
    </row>
    <row r="32" spans="1:6" ht="30" x14ac:dyDescent="0.25">
      <c r="A32" s="4" t="s">
        <v>82</v>
      </c>
      <c r="B32" s="2" t="s">
        <v>83</v>
      </c>
      <c r="C32" s="3" t="s">
        <v>50</v>
      </c>
      <c r="D32" s="274">
        <f>D23</f>
        <v>100.64000000000001</v>
      </c>
      <c r="E32" s="8"/>
      <c r="F32" s="8">
        <f t="shared" si="0"/>
        <v>0</v>
      </c>
    </row>
    <row r="33" spans="1:6" s="138" customFormat="1" ht="30" x14ac:dyDescent="0.25">
      <c r="A33" s="4" t="s">
        <v>84</v>
      </c>
      <c r="B33" s="2" t="s">
        <v>85</v>
      </c>
      <c r="C33" s="3" t="s">
        <v>26</v>
      </c>
      <c r="D33" s="274">
        <v>1</v>
      </c>
      <c r="E33" s="8"/>
      <c r="F33" s="8">
        <f t="shared" si="0"/>
        <v>0</v>
      </c>
    </row>
    <row r="34" spans="1:6" s="140" customFormat="1" ht="45" x14ac:dyDescent="0.25">
      <c r="A34" s="26" t="s">
        <v>130</v>
      </c>
      <c r="B34" s="5" t="s">
        <v>87</v>
      </c>
      <c r="C34" s="6" t="s">
        <v>88</v>
      </c>
      <c r="D34" s="274">
        <v>1</v>
      </c>
      <c r="E34" s="9"/>
      <c r="F34" s="9">
        <f t="shared" si="0"/>
        <v>0</v>
      </c>
    </row>
    <row r="35" spans="1:6" ht="15" x14ac:dyDescent="0.25">
      <c r="A35" s="4" t="s">
        <v>86</v>
      </c>
      <c r="B35" s="2" t="s">
        <v>90</v>
      </c>
      <c r="C35" s="3" t="s">
        <v>70</v>
      </c>
      <c r="D35" s="274">
        <f>7.3*5</f>
        <v>36.5</v>
      </c>
      <c r="E35" s="8"/>
      <c r="F35" s="8">
        <f t="shared" si="0"/>
        <v>0</v>
      </c>
    </row>
    <row r="36" spans="1:6" ht="30" x14ac:dyDescent="0.25">
      <c r="A36" s="4" t="s">
        <v>89</v>
      </c>
      <c r="B36" s="2" t="s">
        <v>92</v>
      </c>
      <c r="C36" s="3" t="s">
        <v>43</v>
      </c>
      <c r="D36" s="274">
        <f>8*10.7*0.05</f>
        <v>4.28</v>
      </c>
      <c r="E36" s="8"/>
      <c r="F36" s="8">
        <f t="shared" si="0"/>
        <v>0</v>
      </c>
    </row>
    <row r="37" spans="1:6" ht="15" x14ac:dyDescent="0.25">
      <c r="A37" s="4" t="s">
        <v>91</v>
      </c>
      <c r="B37" s="2" t="s">
        <v>94</v>
      </c>
      <c r="C37" s="3" t="s">
        <v>50</v>
      </c>
      <c r="D37" s="274">
        <f>9.9*7.3-5.2*2.2</f>
        <v>60.83</v>
      </c>
      <c r="E37" s="8"/>
      <c r="F37" s="8">
        <f t="shared" si="0"/>
        <v>0</v>
      </c>
    </row>
    <row r="38" spans="1:6" ht="15" x14ac:dyDescent="0.25">
      <c r="A38" s="4" t="s">
        <v>93</v>
      </c>
      <c r="B38" s="2" t="s">
        <v>96</v>
      </c>
      <c r="C38" s="3" t="s">
        <v>50</v>
      </c>
      <c r="D38" s="274">
        <f>8*10.7-D37</f>
        <v>24.769999999999996</v>
      </c>
      <c r="E38" s="8"/>
      <c r="F38" s="8">
        <f t="shared" si="0"/>
        <v>0</v>
      </c>
    </row>
    <row r="39" spans="1:6" s="138" customFormat="1" ht="45" x14ac:dyDescent="0.25">
      <c r="A39" s="4" t="s">
        <v>95</v>
      </c>
      <c r="B39" s="2" t="s">
        <v>129</v>
      </c>
      <c r="C39" s="3" t="s">
        <v>88</v>
      </c>
      <c r="D39" s="274">
        <v>12</v>
      </c>
      <c r="E39" s="8"/>
      <c r="F39" s="8">
        <f t="shared" si="0"/>
        <v>0</v>
      </c>
    </row>
    <row r="40" spans="1:6" s="140" customFormat="1" ht="30" x14ac:dyDescent="0.25">
      <c r="A40" s="26" t="s">
        <v>135</v>
      </c>
      <c r="B40" s="2" t="s">
        <v>131</v>
      </c>
      <c r="C40" s="6" t="s">
        <v>88</v>
      </c>
      <c r="D40" s="274">
        <v>13</v>
      </c>
      <c r="E40" s="9"/>
      <c r="F40" s="9">
        <f t="shared" si="0"/>
        <v>0</v>
      </c>
    </row>
    <row r="41" spans="1:6" s="140" customFormat="1" ht="15" x14ac:dyDescent="0.25">
      <c r="A41" s="4" t="s">
        <v>97</v>
      </c>
      <c r="B41" s="5" t="s">
        <v>132</v>
      </c>
      <c r="C41" s="6" t="s">
        <v>88</v>
      </c>
      <c r="D41" s="274">
        <v>3</v>
      </c>
      <c r="E41" s="9"/>
      <c r="F41" s="9">
        <f t="shared" si="0"/>
        <v>0</v>
      </c>
    </row>
    <row r="42" spans="1:6" s="140" customFormat="1" ht="45" x14ac:dyDescent="0.25">
      <c r="A42" s="26" t="s">
        <v>99</v>
      </c>
      <c r="B42" s="5" t="s">
        <v>98</v>
      </c>
      <c r="C42" s="6" t="s">
        <v>88</v>
      </c>
      <c r="D42" s="274">
        <v>1</v>
      </c>
      <c r="E42" s="9"/>
      <c r="F42" s="9">
        <f t="shared" si="0"/>
        <v>0</v>
      </c>
    </row>
    <row r="43" spans="1:6" s="140" customFormat="1" ht="30" x14ac:dyDescent="0.25">
      <c r="A43" s="26" t="s">
        <v>101</v>
      </c>
      <c r="B43" s="5" t="s">
        <v>100</v>
      </c>
      <c r="C43" s="6" t="s">
        <v>88</v>
      </c>
      <c r="D43" s="274">
        <v>1</v>
      </c>
      <c r="E43" s="9"/>
      <c r="F43" s="9">
        <f t="shared" si="0"/>
        <v>0</v>
      </c>
    </row>
    <row r="44" spans="1:6" s="140" customFormat="1" ht="15" x14ac:dyDescent="0.25">
      <c r="A44" s="26" t="s">
        <v>103</v>
      </c>
      <c r="B44" s="5" t="s">
        <v>102</v>
      </c>
      <c r="C44" s="6" t="s">
        <v>88</v>
      </c>
      <c r="D44" s="274">
        <v>0</v>
      </c>
      <c r="E44" s="9"/>
      <c r="F44" s="9">
        <f t="shared" si="0"/>
        <v>0</v>
      </c>
    </row>
    <row r="45" spans="1:6" ht="30" x14ac:dyDescent="0.25">
      <c r="A45" s="4" t="s">
        <v>105</v>
      </c>
      <c r="B45" s="2" t="s">
        <v>104</v>
      </c>
      <c r="C45" s="3" t="s">
        <v>50</v>
      </c>
      <c r="D45" s="274">
        <f>1.1*4*0.6</f>
        <v>2.64</v>
      </c>
      <c r="E45" s="8"/>
      <c r="F45" s="8">
        <f t="shared" si="0"/>
        <v>0</v>
      </c>
    </row>
    <row r="46" spans="1:6" s="142" customFormat="1" ht="15" x14ac:dyDescent="0.25">
      <c r="A46" s="26" t="s">
        <v>107</v>
      </c>
      <c r="B46" s="5" t="s">
        <v>106</v>
      </c>
      <c r="C46" s="6" t="s">
        <v>26</v>
      </c>
      <c r="D46" s="274">
        <v>1</v>
      </c>
      <c r="E46" s="9"/>
      <c r="F46" s="7">
        <f t="shared" si="0"/>
        <v>0</v>
      </c>
    </row>
    <row r="47" spans="1:6" ht="30" x14ac:dyDescent="0.25">
      <c r="A47" s="4" t="s">
        <v>161</v>
      </c>
      <c r="B47" s="2" t="s">
        <v>108</v>
      </c>
      <c r="C47" s="3" t="s">
        <v>50</v>
      </c>
      <c r="D47" s="274">
        <f>D31</f>
        <v>232.52</v>
      </c>
      <c r="E47" s="8"/>
      <c r="F47" s="7">
        <f t="shared" si="0"/>
        <v>0</v>
      </c>
    </row>
    <row r="48" spans="1:6" s="138" customFormat="1" ht="60" x14ac:dyDescent="0.25">
      <c r="A48" s="26" t="s">
        <v>109</v>
      </c>
      <c r="B48" s="5" t="s">
        <v>133</v>
      </c>
      <c r="C48" s="3" t="s">
        <v>55</v>
      </c>
      <c r="D48" s="274">
        <v>12</v>
      </c>
      <c r="E48" s="8"/>
      <c r="F48" s="8">
        <f t="shared" si="0"/>
        <v>0</v>
      </c>
    </row>
    <row r="49" spans="1:6" s="140" customFormat="1" ht="60" x14ac:dyDescent="0.25">
      <c r="A49" s="26" t="s">
        <v>187</v>
      </c>
      <c r="B49" s="5" t="s">
        <v>110</v>
      </c>
      <c r="C49" s="6" t="s">
        <v>88</v>
      </c>
      <c r="D49" s="274">
        <v>1</v>
      </c>
      <c r="E49" s="9"/>
      <c r="F49" s="9">
        <f t="shared" si="0"/>
        <v>0</v>
      </c>
    </row>
    <row r="50" spans="1:6" s="138" customFormat="1" ht="30" x14ac:dyDescent="0.25">
      <c r="A50" s="26" t="s">
        <v>162</v>
      </c>
      <c r="B50" s="2" t="s">
        <v>134</v>
      </c>
      <c r="C50" s="3" t="s">
        <v>43</v>
      </c>
      <c r="D50" s="274">
        <f>1.1*4*0.6*0.1</f>
        <v>0.26400000000000001</v>
      </c>
      <c r="E50" s="8"/>
      <c r="F50" s="8">
        <f t="shared" si="0"/>
        <v>0</v>
      </c>
    </row>
    <row r="51" spans="1:6" ht="30" x14ac:dyDescent="0.25">
      <c r="A51" s="4" t="s">
        <v>163</v>
      </c>
      <c r="B51" s="2" t="s">
        <v>136</v>
      </c>
      <c r="C51" s="3" t="s">
        <v>70</v>
      </c>
      <c r="D51" s="274">
        <v>30</v>
      </c>
      <c r="E51" s="8"/>
      <c r="F51" s="8">
        <f t="shared" si="0"/>
        <v>0</v>
      </c>
    </row>
    <row r="52" spans="1:6" ht="75" x14ac:dyDescent="0.25">
      <c r="A52" s="26" t="s">
        <v>164</v>
      </c>
      <c r="B52" s="2" t="s">
        <v>137</v>
      </c>
      <c r="C52" s="3" t="s">
        <v>70</v>
      </c>
      <c r="D52" s="274">
        <v>20</v>
      </c>
      <c r="E52" s="8"/>
      <c r="F52" s="8">
        <f t="shared" si="0"/>
        <v>0</v>
      </c>
    </row>
    <row r="53" spans="1:6" s="140" customFormat="1" ht="30" x14ac:dyDescent="0.25">
      <c r="A53" s="4" t="s">
        <v>111</v>
      </c>
      <c r="B53" s="5" t="s">
        <v>138</v>
      </c>
      <c r="C53" s="6" t="s">
        <v>55</v>
      </c>
      <c r="D53" s="274">
        <v>4</v>
      </c>
      <c r="E53" s="9"/>
      <c r="F53" s="9">
        <f t="shared" si="0"/>
        <v>0</v>
      </c>
    </row>
    <row r="54" spans="1:6" ht="30" x14ac:dyDescent="0.25">
      <c r="A54" s="26" t="s">
        <v>165</v>
      </c>
      <c r="B54" s="2" t="s">
        <v>112</v>
      </c>
      <c r="C54" s="3" t="s">
        <v>43</v>
      </c>
      <c r="D54" s="274">
        <f>4*2.9*0.1</f>
        <v>1.1599999999999999</v>
      </c>
      <c r="E54" s="8"/>
      <c r="F54" s="8">
        <f t="shared" si="0"/>
        <v>0</v>
      </c>
    </row>
    <row r="55" spans="1:6" s="142" customFormat="1" ht="15" x14ac:dyDescent="0.25">
      <c r="A55" s="26" t="s">
        <v>169</v>
      </c>
      <c r="B55" s="37" t="s">
        <v>139</v>
      </c>
      <c r="C55" s="38" t="s">
        <v>43</v>
      </c>
      <c r="D55" s="277">
        <v>10.8</v>
      </c>
      <c r="E55" s="39"/>
      <c r="F55" s="48">
        <f t="shared" si="0"/>
        <v>0</v>
      </c>
    </row>
    <row r="56" spans="1:6" ht="15" x14ac:dyDescent="0.25">
      <c r="A56" s="19"/>
      <c r="B56" s="15" t="s">
        <v>113</v>
      </c>
      <c r="C56" s="16"/>
      <c r="D56" s="278"/>
      <c r="E56" s="17"/>
      <c r="F56" s="18">
        <f>SUM(F5:F55)</f>
        <v>0</v>
      </c>
    </row>
    <row r="57" spans="1:6" s="138" customFormat="1" ht="18.75" x14ac:dyDescent="0.25">
      <c r="A57" s="22"/>
      <c r="B57" s="10" t="s">
        <v>188</v>
      </c>
      <c r="C57" s="23"/>
      <c r="D57" s="279"/>
      <c r="E57" s="23"/>
      <c r="F57" s="24"/>
    </row>
    <row r="58" spans="1:6" s="138" customFormat="1" ht="15" x14ac:dyDescent="0.25">
      <c r="A58" s="147">
        <v>57</v>
      </c>
      <c r="B58" s="148" t="s">
        <v>141</v>
      </c>
      <c r="C58" s="149" t="s">
        <v>50</v>
      </c>
      <c r="D58" s="280">
        <v>4.1500000000000004</v>
      </c>
      <c r="E58" s="149"/>
      <c r="F58" s="48">
        <f t="shared" ref="F58:F72" si="1">D58*E58</f>
        <v>0</v>
      </c>
    </row>
    <row r="59" spans="1:6" s="138" customFormat="1" ht="30" x14ac:dyDescent="0.25">
      <c r="A59" s="147">
        <v>58</v>
      </c>
      <c r="B59" s="150" t="s">
        <v>142</v>
      </c>
      <c r="C59" s="151" t="s">
        <v>43</v>
      </c>
      <c r="D59" s="281">
        <v>3.01</v>
      </c>
      <c r="E59" s="152"/>
      <c r="F59" s="48">
        <f t="shared" si="1"/>
        <v>0</v>
      </c>
    </row>
    <row r="60" spans="1:6" ht="30" x14ac:dyDescent="0.25">
      <c r="A60" s="147">
        <v>59</v>
      </c>
      <c r="B60" s="150" t="s">
        <v>143</v>
      </c>
      <c r="C60" s="151" t="s">
        <v>50</v>
      </c>
      <c r="D60" s="281">
        <v>2.54</v>
      </c>
      <c r="E60" s="151"/>
      <c r="F60" s="48">
        <f t="shared" si="1"/>
        <v>0</v>
      </c>
    </row>
    <row r="61" spans="1:6" ht="30" x14ac:dyDescent="0.25">
      <c r="A61" s="147">
        <v>60</v>
      </c>
      <c r="B61" s="150" t="s">
        <v>144</v>
      </c>
      <c r="C61" s="151" t="s">
        <v>145</v>
      </c>
      <c r="D61" s="281">
        <v>1</v>
      </c>
      <c r="E61" s="152"/>
      <c r="F61" s="48">
        <f t="shared" si="1"/>
        <v>0</v>
      </c>
    </row>
    <row r="62" spans="1:6" ht="45" x14ac:dyDescent="0.25">
      <c r="A62" s="147">
        <v>61</v>
      </c>
      <c r="B62" s="150" t="s">
        <v>146</v>
      </c>
      <c r="C62" s="151" t="s">
        <v>43</v>
      </c>
      <c r="D62" s="281">
        <v>0.2</v>
      </c>
      <c r="E62" s="152"/>
      <c r="F62" s="48">
        <f t="shared" si="1"/>
        <v>0</v>
      </c>
    </row>
    <row r="63" spans="1:6" ht="30" x14ac:dyDescent="0.25">
      <c r="A63" s="147">
        <v>62</v>
      </c>
      <c r="B63" s="150" t="s">
        <v>147</v>
      </c>
      <c r="C63" s="151" t="s">
        <v>50</v>
      </c>
      <c r="D63" s="281">
        <v>2</v>
      </c>
      <c r="E63" s="151"/>
      <c r="F63" s="48">
        <f t="shared" si="1"/>
        <v>0</v>
      </c>
    </row>
    <row r="64" spans="1:6" s="138" customFormat="1" ht="30" x14ac:dyDescent="0.25">
      <c r="A64" s="147">
        <v>63</v>
      </c>
      <c r="B64" s="150" t="s">
        <v>148</v>
      </c>
      <c r="C64" s="151" t="s">
        <v>50</v>
      </c>
      <c r="D64" s="281">
        <v>5.0199999999999996</v>
      </c>
      <c r="E64" s="151"/>
      <c r="F64" s="48">
        <f t="shared" si="1"/>
        <v>0</v>
      </c>
    </row>
    <row r="65" spans="1:6" s="138" customFormat="1" ht="30" x14ac:dyDescent="0.25">
      <c r="A65" s="147">
        <v>64</v>
      </c>
      <c r="B65" s="150" t="s">
        <v>149</v>
      </c>
      <c r="C65" s="151" t="s">
        <v>70</v>
      </c>
      <c r="D65" s="281">
        <v>6</v>
      </c>
      <c r="E65" s="151"/>
      <c r="F65" s="48">
        <f t="shared" si="1"/>
        <v>0</v>
      </c>
    </row>
    <row r="66" spans="1:6" s="138" customFormat="1" ht="30" x14ac:dyDescent="0.25">
      <c r="A66" s="147">
        <v>65</v>
      </c>
      <c r="B66" s="150" t="s">
        <v>150</v>
      </c>
      <c r="C66" s="151" t="s">
        <v>88</v>
      </c>
      <c r="D66" s="281">
        <v>1</v>
      </c>
      <c r="E66" s="151"/>
      <c r="F66" s="48">
        <f t="shared" si="1"/>
        <v>0</v>
      </c>
    </row>
    <row r="67" spans="1:6" s="138" customFormat="1" ht="30" x14ac:dyDescent="0.25">
      <c r="A67" s="147">
        <v>66</v>
      </c>
      <c r="B67" s="150" t="s">
        <v>151</v>
      </c>
      <c r="C67" s="151" t="s">
        <v>88</v>
      </c>
      <c r="D67" s="281">
        <v>1</v>
      </c>
      <c r="E67" s="151"/>
      <c r="F67" s="48">
        <f t="shared" si="1"/>
        <v>0</v>
      </c>
    </row>
    <row r="68" spans="1:6" s="138" customFormat="1" ht="15" x14ac:dyDescent="0.25">
      <c r="A68" s="147">
        <v>67</v>
      </c>
      <c r="B68" s="150" t="s">
        <v>152</v>
      </c>
      <c r="C68" s="151" t="s">
        <v>43</v>
      </c>
      <c r="D68" s="281">
        <v>3.93</v>
      </c>
      <c r="E68" s="151"/>
      <c r="F68" s="48">
        <f t="shared" si="1"/>
        <v>0</v>
      </c>
    </row>
    <row r="69" spans="1:6" ht="15" x14ac:dyDescent="0.25">
      <c r="A69" s="147">
        <v>68</v>
      </c>
      <c r="B69" s="150" t="s">
        <v>153</v>
      </c>
      <c r="C69" s="151" t="s">
        <v>43</v>
      </c>
      <c r="D69" s="281">
        <v>3.93</v>
      </c>
      <c r="E69" s="151"/>
      <c r="F69" s="48">
        <f t="shared" si="1"/>
        <v>0</v>
      </c>
    </row>
    <row r="70" spans="1:6" s="138" customFormat="1" ht="45" x14ac:dyDescent="0.25">
      <c r="A70" s="147">
        <v>69</v>
      </c>
      <c r="B70" s="150" t="s">
        <v>154</v>
      </c>
      <c r="C70" s="151" t="s">
        <v>43</v>
      </c>
      <c r="D70" s="281">
        <v>1.22</v>
      </c>
      <c r="E70" s="152"/>
      <c r="F70" s="48">
        <f t="shared" si="1"/>
        <v>0</v>
      </c>
    </row>
    <row r="71" spans="1:6" s="138" customFormat="1" ht="30" x14ac:dyDescent="0.25">
      <c r="A71" s="147">
        <v>70</v>
      </c>
      <c r="B71" s="150" t="s">
        <v>143</v>
      </c>
      <c r="C71" s="151" t="s">
        <v>50</v>
      </c>
      <c r="D71" s="281">
        <v>1.22</v>
      </c>
      <c r="E71" s="151"/>
      <c r="F71" s="48">
        <f t="shared" si="1"/>
        <v>0</v>
      </c>
    </row>
    <row r="72" spans="1:6" ht="60" x14ac:dyDescent="0.25">
      <c r="A72" s="147">
        <v>71</v>
      </c>
      <c r="B72" s="153" t="s">
        <v>155</v>
      </c>
      <c r="C72" s="154" t="s">
        <v>50</v>
      </c>
      <c r="D72" s="282">
        <v>130</v>
      </c>
      <c r="E72" s="154"/>
      <c r="F72" s="48">
        <f>D72*E72</f>
        <v>0</v>
      </c>
    </row>
    <row r="73" spans="1:6" ht="15.75" x14ac:dyDescent="0.25">
      <c r="A73" s="264"/>
      <c r="B73" s="269" t="s">
        <v>171</v>
      </c>
      <c r="C73" s="269"/>
      <c r="D73" s="283"/>
      <c r="E73" s="269"/>
      <c r="F73" s="264">
        <f>SUM(F58:F72)</f>
        <v>0</v>
      </c>
    </row>
    <row r="74" spans="1:6" ht="15.75" x14ac:dyDescent="0.25">
      <c r="A74" s="264"/>
      <c r="B74" s="269" t="s">
        <v>171</v>
      </c>
      <c r="C74" s="269"/>
      <c r="D74" s="283"/>
      <c r="E74" s="269"/>
      <c r="F74" s="264">
        <f>F73*2</f>
        <v>0</v>
      </c>
    </row>
    <row r="75" spans="1:6" ht="58.5" x14ac:dyDescent="0.25">
      <c r="A75" s="265"/>
      <c r="B75" s="265" t="s">
        <v>189</v>
      </c>
      <c r="C75" s="265"/>
      <c r="D75" s="20"/>
      <c r="E75" s="265"/>
      <c r="F75" s="25">
        <f>SUM(F74+F56)</f>
        <v>0</v>
      </c>
    </row>
  </sheetData>
  <sheetProtection algorithmName="SHA-512" hashValue="4vV5UCaE7JY10ZKFZsDexOVW2LA7NaXwqi5Hfky05rVPsBXepc6UiyBAMcBqKUUkoOehTbHyiFRZJug7ofLZQg==" saltValue="s4SDiQIulydLk7+ZtBRIhg==" spinCount="100000" sheet="1" objects="1" scenarios="1"/>
  <mergeCells count="1">
    <mergeCell ref="B2:C2"/>
  </mergeCells>
  <pageMargins left="0.46" right="0.34" top="0.47" bottom="0.38" header="0.3" footer="0.19"/>
  <pageSetup scale="85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6"/>
  <sheetViews>
    <sheetView tabSelected="1" topLeftCell="A53" zoomScale="90" zoomScaleNormal="90" workbookViewId="0">
      <selection activeCell="E71" sqref="E71"/>
    </sheetView>
  </sheetViews>
  <sheetFormatPr defaultRowHeight="50.45" customHeight="1" x14ac:dyDescent="0.25"/>
  <cols>
    <col min="1" max="1" width="3.85546875" style="131" customWidth="1"/>
    <col min="2" max="2" width="43.42578125" style="132" customWidth="1"/>
    <col min="3" max="3" width="16.85546875" style="132" customWidth="1"/>
    <col min="4" max="4" width="17.140625" style="286" customWidth="1"/>
    <col min="5" max="5" width="15.85546875" style="132" customWidth="1"/>
    <col min="6" max="6" width="17.42578125" style="132" bestFit="1" customWidth="1"/>
    <col min="7" max="7" width="12.5703125" style="132" bestFit="1" customWidth="1"/>
    <col min="8" max="8" width="10" style="132" customWidth="1"/>
    <col min="9" max="9" width="17.5703125" style="132" customWidth="1"/>
    <col min="10" max="10" width="16" style="132" customWidth="1"/>
    <col min="11" max="16384" width="9.140625" style="132"/>
  </cols>
  <sheetData>
    <row r="1" spans="1:6" ht="15" customHeight="1" x14ac:dyDescent="0.25">
      <c r="B1" s="166" t="s">
        <v>190</v>
      </c>
      <c r="C1" s="166"/>
      <c r="D1" s="270"/>
      <c r="E1" s="166"/>
      <c r="F1" s="166"/>
    </row>
    <row r="2" spans="1:6" s="133" customFormat="1" ht="21" customHeight="1" x14ac:dyDescent="0.35">
      <c r="B2" s="355" t="s">
        <v>191</v>
      </c>
      <c r="C2" s="355"/>
      <c r="D2" s="271"/>
      <c r="E2" s="268"/>
      <c r="F2" s="268"/>
    </row>
    <row r="3" spans="1:6" s="138" customFormat="1" ht="30.75" customHeight="1" x14ac:dyDescent="0.25">
      <c r="A3" s="257" t="s">
        <v>192</v>
      </c>
      <c r="B3" s="258"/>
      <c r="C3" s="259"/>
      <c r="D3" s="272"/>
      <c r="E3" s="259"/>
      <c r="F3" s="260"/>
    </row>
    <row r="4" spans="1:6" s="138" customFormat="1" ht="15" x14ac:dyDescent="0.25">
      <c r="A4" s="261" t="s">
        <v>18</v>
      </c>
      <c r="B4" s="262" t="s">
        <v>19</v>
      </c>
      <c r="C4" s="262" t="s">
        <v>20</v>
      </c>
      <c r="D4" s="273" t="s">
        <v>21</v>
      </c>
      <c r="E4" s="263" t="s">
        <v>22</v>
      </c>
      <c r="F4" s="263" t="s">
        <v>23</v>
      </c>
    </row>
    <row r="5" spans="1:6" ht="15" x14ac:dyDescent="0.25">
      <c r="A5" s="4" t="s">
        <v>24</v>
      </c>
      <c r="B5" s="28" t="s">
        <v>25</v>
      </c>
      <c r="C5" s="31" t="s">
        <v>26</v>
      </c>
      <c r="D5" s="274">
        <v>1</v>
      </c>
      <c r="E5" s="29"/>
      <c r="F5" s="8">
        <f t="shared" ref="F5:F56" si="0">D5*E5</f>
        <v>0</v>
      </c>
    </row>
    <row r="6" spans="1:6" s="138" customFormat="1" ht="18" x14ac:dyDescent="0.25">
      <c r="A6" s="4" t="s">
        <v>27</v>
      </c>
      <c r="B6" s="28" t="s">
        <v>28</v>
      </c>
      <c r="C6" s="31" t="s">
        <v>159</v>
      </c>
      <c r="D6" s="274">
        <f>11.7*9</f>
        <v>105.3</v>
      </c>
      <c r="E6" s="30"/>
      <c r="F6" s="8">
        <f t="shared" si="0"/>
        <v>0</v>
      </c>
    </row>
    <row r="7" spans="1:6" s="138" customFormat="1" ht="18" x14ac:dyDescent="0.25">
      <c r="A7" s="4" t="s">
        <v>30</v>
      </c>
      <c r="B7" s="28" t="s">
        <v>31</v>
      </c>
      <c r="C7" s="31" t="s">
        <v>160</v>
      </c>
      <c r="D7" s="274">
        <f>D6*0.5</f>
        <v>52.65</v>
      </c>
      <c r="E7" s="29"/>
      <c r="F7" s="8">
        <f t="shared" si="0"/>
        <v>0</v>
      </c>
    </row>
    <row r="8" spans="1:6" s="138" customFormat="1" ht="45" x14ac:dyDescent="0.25">
      <c r="A8" s="4" t="s">
        <v>33</v>
      </c>
      <c r="B8" s="28" t="s">
        <v>34</v>
      </c>
      <c r="C8" s="31" t="s">
        <v>160</v>
      </c>
      <c r="D8" s="274">
        <f>14.9*5.9*3</f>
        <v>263.73</v>
      </c>
      <c r="E8" s="30"/>
      <c r="F8" s="8">
        <f t="shared" si="0"/>
        <v>0</v>
      </c>
    </row>
    <row r="9" spans="1:6" ht="18" x14ac:dyDescent="0.25">
      <c r="A9" s="4" t="s">
        <v>35</v>
      </c>
      <c r="B9" s="2" t="s">
        <v>36</v>
      </c>
      <c r="C9" s="31" t="s">
        <v>160</v>
      </c>
      <c r="D9" s="275">
        <f>(10.5+2.9)*1.5*3</f>
        <v>60.300000000000004</v>
      </c>
      <c r="E9" s="8"/>
      <c r="F9" s="8">
        <f t="shared" si="0"/>
        <v>0</v>
      </c>
    </row>
    <row r="10" spans="1:6" s="138" customFormat="1" ht="18" x14ac:dyDescent="0.25">
      <c r="A10" s="4" t="s">
        <v>37</v>
      </c>
      <c r="B10" s="2" t="s">
        <v>38</v>
      </c>
      <c r="C10" s="31" t="s">
        <v>160</v>
      </c>
      <c r="D10" s="274">
        <f>D7+D8-D9</f>
        <v>256.08</v>
      </c>
      <c r="E10" s="8"/>
      <c r="F10" s="8">
        <f t="shared" si="0"/>
        <v>0</v>
      </c>
    </row>
    <row r="11" spans="1:6" s="138" customFormat="1" ht="45" x14ac:dyDescent="0.25">
      <c r="A11" s="4" t="s">
        <v>39</v>
      </c>
      <c r="B11" s="2" t="s">
        <v>40</v>
      </c>
      <c r="C11" s="31" t="s">
        <v>160</v>
      </c>
      <c r="D11" s="274">
        <f>(10.1+2.5)*2*0.4*0.05</f>
        <v>0.504</v>
      </c>
      <c r="E11" s="8"/>
      <c r="F11" s="8">
        <f t="shared" si="0"/>
        <v>0</v>
      </c>
    </row>
    <row r="12" spans="1:6" s="138" customFormat="1" ht="45" x14ac:dyDescent="0.25">
      <c r="A12" s="4" t="s">
        <v>41</v>
      </c>
      <c r="B12" s="2" t="s">
        <v>42</v>
      </c>
      <c r="C12" s="3" t="s">
        <v>43</v>
      </c>
      <c r="D12" s="274">
        <f>(10.1+2.5)*2*0.4*3</f>
        <v>30.240000000000002</v>
      </c>
      <c r="E12" s="8"/>
      <c r="F12" s="8">
        <f t="shared" si="0"/>
        <v>0</v>
      </c>
    </row>
    <row r="13" spans="1:6" s="138" customFormat="1" ht="15" x14ac:dyDescent="0.25">
      <c r="A13" s="4" t="s">
        <v>44</v>
      </c>
      <c r="B13" s="2" t="s">
        <v>45</v>
      </c>
      <c r="C13" s="3" t="s">
        <v>43</v>
      </c>
      <c r="D13" s="274">
        <f>(10.1+2.5)*2*0.4*0.05</f>
        <v>0.504</v>
      </c>
      <c r="E13" s="8"/>
      <c r="F13" s="8">
        <f t="shared" si="0"/>
        <v>0</v>
      </c>
    </row>
    <row r="14" spans="1:6" ht="15" x14ac:dyDescent="0.25">
      <c r="A14" s="4" t="s">
        <v>46</v>
      </c>
      <c r="B14" s="2" t="s">
        <v>47</v>
      </c>
      <c r="C14" s="3" t="s">
        <v>43</v>
      </c>
      <c r="D14" s="274">
        <f>(10.1+2.5)*2*0.2*0.25*3</f>
        <v>3.7800000000000002</v>
      </c>
      <c r="E14" s="8"/>
      <c r="F14" s="8">
        <f t="shared" si="0"/>
        <v>0</v>
      </c>
    </row>
    <row r="15" spans="1:6" s="138" customFormat="1" ht="30" x14ac:dyDescent="0.25">
      <c r="A15" s="4" t="s">
        <v>48</v>
      </c>
      <c r="B15" s="2" t="s">
        <v>49</v>
      </c>
      <c r="C15" s="3" t="s">
        <v>50</v>
      </c>
      <c r="D15" s="274">
        <f>(9.7+2.1)*2*3</f>
        <v>70.8</v>
      </c>
      <c r="E15" s="8"/>
      <c r="F15" s="8">
        <f t="shared" si="0"/>
        <v>0</v>
      </c>
    </row>
    <row r="16" spans="1:6" ht="30" x14ac:dyDescent="0.25">
      <c r="A16" s="4" t="s">
        <v>51</v>
      </c>
      <c r="B16" s="2" t="s">
        <v>52</v>
      </c>
      <c r="C16" s="3" t="s">
        <v>43</v>
      </c>
      <c r="D16" s="274">
        <f>9.7*2.1*0.3</f>
        <v>6.1109999999999998</v>
      </c>
      <c r="E16" s="8"/>
      <c r="F16" s="8">
        <f t="shared" si="0"/>
        <v>0</v>
      </c>
    </row>
    <row r="17" spans="1:6" s="138" customFormat="1" ht="45" x14ac:dyDescent="0.25">
      <c r="A17" s="4" t="s">
        <v>53</v>
      </c>
      <c r="B17" s="2" t="s">
        <v>54</v>
      </c>
      <c r="C17" s="3" t="s">
        <v>55</v>
      </c>
      <c r="D17" s="274">
        <v>1</v>
      </c>
      <c r="E17" s="8"/>
      <c r="F17" s="8">
        <f t="shared" si="0"/>
        <v>0</v>
      </c>
    </row>
    <row r="18" spans="1:6" s="138" customFormat="1" ht="30" x14ac:dyDescent="0.25">
      <c r="A18" s="4" t="s">
        <v>56</v>
      </c>
      <c r="B18" s="2" t="s">
        <v>57</v>
      </c>
      <c r="C18" s="3" t="s">
        <v>43</v>
      </c>
      <c r="D18" s="274">
        <f>10.7*8*0.15-D19</f>
        <v>12.704999999999998</v>
      </c>
      <c r="E18" s="8"/>
      <c r="F18" s="8">
        <f t="shared" si="0"/>
        <v>0</v>
      </c>
    </row>
    <row r="19" spans="1:6" s="138" customFormat="1" ht="30" x14ac:dyDescent="0.25">
      <c r="A19" s="4" t="s">
        <v>58</v>
      </c>
      <c r="B19" s="2" t="s">
        <v>59</v>
      </c>
      <c r="C19" s="3" t="s">
        <v>50</v>
      </c>
      <c r="D19" s="274">
        <f>1.5*0.6*0.15</f>
        <v>0.13499999999999998</v>
      </c>
      <c r="E19" s="8"/>
      <c r="F19" s="8">
        <f t="shared" si="0"/>
        <v>0</v>
      </c>
    </row>
    <row r="20" spans="1:6" ht="15" x14ac:dyDescent="0.25">
      <c r="A20" s="4" t="s">
        <v>60</v>
      </c>
      <c r="B20" s="2" t="s">
        <v>61</v>
      </c>
      <c r="C20" s="3" t="s">
        <v>62</v>
      </c>
      <c r="D20" s="274">
        <f>7.3*5-2.4+1.1*10+6+6-0.9</f>
        <v>56.2</v>
      </c>
      <c r="E20" s="8"/>
      <c r="F20" s="8">
        <f t="shared" si="0"/>
        <v>0</v>
      </c>
    </row>
    <row r="21" spans="1:6" s="138" customFormat="1" ht="30" x14ac:dyDescent="0.25">
      <c r="A21" s="4" t="s">
        <v>124</v>
      </c>
      <c r="B21" s="2" t="s">
        <v>119</v>
      </c>
      <c r="C21" s="3" t="s">
        <v>43</v>
      </c>
      <c r="D21" s="274">
        <f>0.2*0.2*3.4*6</f>
        <v>0.81600000000000006</v>
      </c>
      <c r="E21" s="8"/>
      <c r="F21" s="8">
        <f t="shared" si="0"/>
        <v>0</v>
      </c>
    </row>
    <row r="22" spans="1:6" s="138" customFormat="1" ht="30" x14ac:dyDescent="0.25">
      <c r="A22" s="4" t="s">
        <v>125</v>
      </c>
      <c r="B22" s="2" t="s">
        <v>121</v>
      </c>
      <c r="C22" s="3" t="s">
        <v>43</v>
      </c>
      <c r="D22" s="276">
        <f>(7.3*4+6)*0.2*0.2</f>
        <v>1.4080000000000004</v>
      </c>
      <c r="E22" s="8"/>
      <c r="F22" s="8">
        <f t="shared" si="0"/>
        <v>0</v>
      </c>
    </row>
    <row r="23" spans="1:6" s="138" customFormat="1" ht="30" x14ac:dyDescent="0.25">
      <c r="A23" s="4" t="s">
        <v>63</v>
      </c>
      <c r="B23" s="2" t="s">
        <v>64</v>
      </c>
      <c r="C23" s="3" t="s">
        <v>50</v>
      </c>
      <c r="D23" s="276">
        <f>(7.3*4+4)*3.4-1.2*3.4*3</f>
        <v>100.64000000000001</v>
      </c>
      <c r="E23" s="8"/>
      <c r="F23" s="8">
        <f t="shared" si="0"/>
        <v>0</v>
      </c>
    </row>
    <row r="24" spans="1:6" s="138" customFormat="1" ht="30" x14ac:dyDescent="0.25">
      <c r="A24" s="4" t="s">
        <v>127</v>
      </c>
      <c r="B24" s="2" t="s">
        <v>123</v>
      </c>
      <c r="C24" s="3" t="s">
        <v>50</v>
      </c>
      <c r="D24" s="274">
        <f>(7.3*3+1.1*10+6+2.1)*2.1-0.8*2.1*12</f>
        <v>65.94</v>
      </c>
      <c r="E24" s="8"/>
      <c r="F24" s="8">
        <f t="shared" si="0"/>
        <v>0</v>
      </c>
    </row>
    <row r="25" spans="1:6" ht="15" x14ac:dyDescent="0.25">
      <c r="A25" s="4" t="s">
        <v>65</v>
      </c>
      <c r="B25" s="2" t="s">
        <v>66</v>
      </c>
      <c r="C25" s="3" t="s">
        <v>67</v>
      </c>
      <c r="D25" s="274">
        <v>7</v>
      </c>
      <c r="E25" s="8"/>
      <c r="F25" s="8">
        <f t="shared" si="0"/>
        <v>0</v>
      </c>
    </row>
    <row r="26" spans="1:6" s="138" customFormat="1" ht="15" x14ac:dyDescent="0.25">
      <c r="A26" s="4" t="s">
        <v>68</v>
      </c>
      <c r="B26" s="2" t="s">
        <v>69</v>
      </c>
      <c r="C26" s="3" t="s">
        <v>70</v>
      </c>
      <c r="D26" s="276">
        <f>95.87*1.3</f>
        <v>124.63100000000001</v>
      </c>
      <c r="E26" s="8"/>
      <c r="F26" s="8">
        <f t="shared" si="0"/>
        <v>0</v>
      </c>
    </row>
    <row r="27" spans="1:6" s="138" customFormat="1" ht="30" x14ac:dyDescent="0.25">
      <c r="A27" s="4" t="s">
        <v>71</v>
      </c>
      <c r="B27" s="2" t="s">
        <v>126</v>
      </c>
      <c r="C27" s="3" t="s">
        <v>50</v>
      </c>
      <c r="D27" s="274">
        <f>10.7*8*1.15</f>
        <v>98.439999999999984</v>
      </c>
      <c r="E27" s="8"/>
      <c r="F27" s="8">
        <f t="shared" si="0"/>
        <v>0</v>
      </c>
    </row>
    <row r="28" spans="1:6" s="138" customFormat="1" ht="15" x14ac:dyDescent="0.25">
      <c r="A28" s="4" t="s">
        <v>73</v>
      </c>
      <c r="B28" s="2" t="s">
        <v>74</v>
      </c>
      <c r="C28" s="3" t="s">
        <v>70</v>
      </c>
      <c r="D28" s="274">
        <v>10.7</v>
      </c>
      <c r="E28" s="8"/>
      <c r="F28" s="8">
        <f t="shared" si="0"/>
        <v>0</v>
      </c>
    </row>
    <row r="29" spans="1:6" ht="15" x14ac:dyDescent="0.25">
      <c r="A29" s="4" t="s">
        <v>75</v>
      </c>
      <c r="B29" s="2" t="s">
        <v>76</v>
      </c>
      <c r="C29" s="3" t="s">
        <v>70</v>
      </c>
      <c r="D29" s="274">
        <f>10.7+16</f>
        <v>26.7</v>
      </c>
      <c r="E29" s="8"/>
      <c r="F29" s="8">
        <f t="shared" si="0"/>
        <v>0</v>
      </c>
    </row>
    <row r="30" spans="1:6" s="138" customFormat="1" ht="45" x14ac:dyDescent="0.25">
      <c r="A30" s="4" t="s">
        <v>77</v>
      </c>
      <c r="B30" s="2" t="s">
        <v>78</v>
      </c>
      <c r="C30" s="3" t="s">
        <v>79</v>
      </c>
      <c r="D30" s="1">
        <v>1</v>
      </c>
      <c r="E30" s="8"/>
      <c r="F30" s="8">
        <f t="shared" si="0"/>
        <v>0</v>
      </c>
    </row>
    <row r="31" spans="1:6" s="138" customFormat="1" ht="45" x14ac:dyDescent="0.25">
      <c r="A31" s="4" t="s">
        <v>80</v>
      </c>
      <c r="B31" s="2" t="s">
        <v>81</v>
      </c>
      <c r="C31" s="3" t="s">
        <v>50</v>
      </c>
      <c r="D31" s="274">
        <f>D24*2+D23</f>
        <v>232.52</v>
      </c>
      <c r="E31" s="8"/>
      <c r="F31" s="8">
        <f t="shared" si="0"/>
        <v>0</v>
      </c>
    </row>
    <row r="32" spans="1:6" ht="30" x14ac:dyDescent="0.25">
      <c r="A32" s="4" t="s">
        <v>82</v>
      </c>
      <c r="B32" s="2" t="s">
        <v>83</v>
      </c>
      <c r="C32" s="3" t="s">
        <v>50</v>
      </c>
      <c r="D32" s="274">
        <f>D23</f>
        <v>100.64000000000001</v>
      </c>
      <c r="E32" s="8"/>
      <c r="F32" s="8">
        <f t="shared" si="0"/>
        <v>0</v>
      </c>
    </row>
    <row r="33" spans="1:6" s="138" customFormat="1" ht="30" x14ac:dyDescent="0.25">
      <c r="A33" s="4" t="s">
        <v>84</v>
      </c>
      <c r="B33" s="2" t="s">
        <v>85</v>
      </c>
      <c r="C33" s="3" t="s">
        <v>26</v>
      </c>
      <c r="D33" s="274">
        <v>1</v>
      </c>
      <c r="E33" s="8"/>
      <c r="F33" s="8">
        <f t="shared" si="0"/>
        <v>0</v>
      </c>
    </row>
    <row r="34" spans="1:6" s="138" customFormat="1" ht="30" x14ac:dyDescent="0.25">
      <c r="A34" s="4" t="s">
        <v>130</v>
      </c>
      <c r="B34" s="2" t="s">
        <v>179</v>
      </c>
      <c r="C34" s="3" t="s">
        <v>26</v>
      </c>
      <c r="D34" s="274">
        <v>0</v>
      </c>
      <c r="E34" s="8"/>
      <c r="F34" s="8">
        <f t="shared" si="0"/>
        <v>0</v>
      </c>
    </row>
    <row r="35" spans="1:6" s="140" customFormat="1" ht="45" x14ac:dyDescent="0.25">
      <c r="A35" s="26" t="s">
        <v>130</v>
      </c>
      <c r="B35" s="5" t="s">
        <v>87</v>
      </c>
      <c r="C35" s="6" t="s">
        <v>88</v>
      </c>
      <c r="D35" s="274">
        <v>1</v>
      </c>
      <c r="E35" s="9"/>
      <c r="F35" s="9">
        <f t="shared" si="0"/>
        <v>0</v>
      </c>
    </row>
    <row r="36" spans="1:6" ht="15" x14ac:dyDescent="0.25">
      <c r="A36" s="4" t="s">
        <v>86</v>
      </c>
      <c r="B36" s="2" t="s">
        <v>90</v>
      </c>
      <c r="C36" s="3" t="s">
        <v>70</v>
      </c>
      <c r="D36" s="274">
        <f>7.3*5</f>
        <v>36.5</v>
      </c>
      <c r="E36" s="8"/>
      <c r="F36" s="8">
        <f t="shared" si="0"/>
        <v>0</v>
      </c>
    </row>
    <row r="37" spans="1:6" ht="30" x14ac:dyDescent="0.25">
      <c r="A37" s="4" t="s">
        <v>89</v>
      </c>
      <c r="B37" s="2" t="s">
        <v>92</v>
      </c>
      <c r="C37" s="3" t="s">
        <v>43</v>
      </c>
      <c r="D37" s="274">
        <f>8*10.7*0.05</f>
        <v>4.28</v>
      </c>
      <c r="E37" s="8"/>
      <c r="F37" s="8">
        <f t="shared" si="0"/>
        <v>0</v>
      </c>
    </row>
    <row r="38" spans="1:6" ht="15" x14ac:dyDescent="0.25">
      <c r="A38" s="4" t="s">
        <v>91</v>
      </c>
      <c r="B38" s="2" t="s">
        <v>94</v>
      </c>
      <c r="C38" s="3" t="s">
        <v>50</v>
      </c>
      <c r="D38" s="274">
        <f>9.9*7.3-5.2*2.2</f>
        <v>60.83</v>
      </c>
      <c r="E38" s="8"/>
      <c r="F38" s="8">
        <f t="shared" si="0"/>
        <v>0</v>
      </c>
    </row>
    <row r="39" spans="1:6" ht="15" x14ac:dyDescent="0.25">
      <c r="A39" s="4" t="s">
        <v>93</v>
      </c>
      <c r="B39" s="2" t="s">
        <v>96</v>
      </c>
      <c r="C39" s="3" t="s">
        <v>50</v>
      </c>
      <c r="D39" s="274">
        <f>8*10.7-D38</f>
        <v>24.769999999999996</v>
      </c>
      <c r="E39" s="8"/>
      <c r="F39" s="8">
        <f t="shared" si="0"/>
        <v>0</v>
      </c>
    </row>
    <row r="40" spans="1:6" s="138" customFormat="1" ht="45" x14ac:dyDescent="0.25">
      <c r="A40" s="4" t="s">
        <v>95</v>
      </c>
      <c r="B40" s="5" t="s">
        <v>129</v>
      </c>
      <c r="C40" s="3" t="s">
        <v>88</v>
      </c>
      <c r="D40" s="274">
        <v>12</v>
      </c>
      <c r="E40" s="8"/>
      <c r="F40" s="8">
        <f t="shared" si="0"/>
        <v>0</v>
      </c>
    </row>
    <row r="41" spans="1:6" s="140" customFormat="1" ht="30" x14ac:dyDescent="0.25">
      <c r="A41" s="26" t="s">
        <v>135</v>
      </c>
      <c r="B41" s="5" t="s">
        <v>131</v>
      </c>
      <c r="C41" s="6" t="s">
        <v>88</v>
      </c>
      <c r="D41" s="274">
        <v>13</v>
      </c>
      <c r="E41" s="9"/>
      <c r="F41" s="9">
        <f t="shared" si="0"/>
        <v>0</v>
      </c>
    </row>
    <row r="42" spans="1:6" s="140" customFormat="1" ht="15" x14ac:dyDescent="0.25">
      <c r="A42" s="4" t="s">
        <v>97</v>
      </c>
      <c r="B42" s="5" t="s">
        <v>132</v>
      </c>
      <c r="C42" s="6" t="s">
        <v>88</v>
      </c>
      <c r="D42" s="274">
        <v>3</v>
      </c>
      <c r="E42" s="9"/>
      <c r="F42" s="9">
        <f t="shared" si="0"/>
        <v>0</v>
      </c>
    </row>
    <row r="43" spans="1:6" s="140" customFormat="1" ht="45" x14ac:dyDescent="0.25">
      <c r="A43" s="26" t="s">
        <v>99</v>
      </c>
      <c r="B43" s="5" t="s">
        <v>98</v>
      </c>
      <c r="C43" s="6" t="s">
        <v>88</v>
      </c>
      <c r="D43" s="274">
        <v>1</v>
      </c>
      <c r="E43" s="9"/>
      <c r="F43" s="9">
        <f t="shared" si="0"/>
        <v>0</v>
      </c>
    </row>
    <row r="44" spans="1:6" s="140" customFormat="1" ht="30" x14ac:dyDescent="0.25">
      <c r="A44" s="26" t="s">
        <v>101</v>
      </c>
      <c r="B44" s="5" t="s">
        <v>100</v>
      </c>
      <c r="C44" s="6" t="s">
        <v>88</v>
      </c>
      <c r="D44" s="274">
        <v>1</v>
      </c>
      <c r="E44" s="9"/>
      <c r="F44" s="9">
        <f t="shared" si="0"/>
        <v>0</v>
      </c>
    </row>
    <row r="45" spans="1:6" s="140" customFormat="1" ht="15" x14ac:dyDescent="0.25">
      <c r="A45" s="26" t="s">
        <v>103</v>
      </c>
      <c r="B45" s="5" t="s">
        <v>102</v>
      </c>
      <c r="C45" s="6" t="s">
        <v>88</v>
      </c>
      <c r="D45" s="274">
        <v>0</v>
      </c>
      <c r="E45" s="9"/>
      <c r="F45" s="9">
        <f t="shared" si="0"/>
        <v>0</v>
      </c>
    </row>
    <row r="46" spans="1:6" ht="30" x14ac:dyDescent="0.25">
      <c r="A46" s="4" t="s">
        <v>105</v>
      </c>
      <c r="B46" s="2" t="s">
        <v>104</v>
      </c>
      <c r="C46" s="3" t="s">
        <v>50</v>
      </c>
      <c r="D46" s="274">
        <f>1.1*4*0.6</f>
        <v>2.64</v>
      </c>
      <c r="E46" s="8"/>
      <c r="F46" s="8">
        <f t="shared" si="0"/>
        <v>0</v>
      </c>
    </row>
    <row r="47" spans="1:6" s="142" customFormat="1" ht="15" x14ac:dyDescent="0.25">
      <c r="A47" s="26" t="s">
        <v>107</v>
      </c>
      <c r="B47" s="5" t="s">
        <v>106</v>
      </c>
      <c r="C47" s="6" t="s">
        <v>26</v>
      </c>
      <c r="D47" s="274">
        <v>1</v>
      </c>
      <c r="E47" s="9"/>
      <c r="F47" s="7">
        <f t="shared" si="0"/>
        <v>0</v>
      </c>
    </row>
    <row r="48" spans="1:6" ht="30" x14ac:dyDescent="0.25">
      <c r="A48" s="4" t="s">
        <v>161</v>
      </c>
      <c r="B48" s="2" t="s">
        <v>108</v>
      </c>
      <c r="C48" s="3" t="s">
        <v>50</v>
      </c>
      <c r="D48" s="274">
        <f>D31</f>
        <v>232.52</v>
      </c>
      <c r="E48" s="8"/>
      <c r="F48" s="7">
        <f t="shared" si="0"/>
        <v>0</v>
      </c>
    </row>
    <row r="49" spans="1:6" s="138" customFormat="1" ht="60" x14ac:dyDescent="0.25">
      <c r="A49" s="26" t="s">
        <v>109</v>
      </c>
      <c r="B49" s="5" t="s">
        <v>133</v>
      </c>
      <c r="C49" s="3" t="s">
        <v>55</v>
      </c>
      <c r="D49" s="274">
        <v>12</v>
      </c>
      <c r="E49" s="8"/>
      <c r="F49" s="8">
        <f t="shared" si="0"/>
        <v>0</v>
      </c>
    </row>
    <row r="50" spans="1:6" s="140" customFormat="1" ht="60" x14ac:dyDescent="0.25">
      <c r="A50" s="26" t="s">
        <v>187</v>
      </c>
      <c r="B50" s="5" t="s">
        <v>110</v>
      </c>
      <c r="C50" s="6" t="s">
        <v>88</v>
      </c>
      <c r="D50" s="274">
        <v>1</v>
      </c>
      <c r="E50" s="9"/>
      <c r="F50" s="9">
        <f t="shared" si="0"/>
        <v>0</v>
      </c>
    </row>
    <row r="51" spans="1:6" s="138" customFormat="1" ht="30" x14ac:dyDescent="0.25">
      <c r="A51" s="26" t="s">
        <v>162</v>
      </c>
      <c r="B51" s="2" t="s">
        <v>134</v>
      </c>
      <c r="C51" s="3" t="s">
        <v>43</v>
      </c>
      <c r="D51" s="274">
        <f>1.1*4*0.6*0.1</f>
        <v>0.26400000000000001</v>
      </c>
      <c r="E51" s="8"/>
      <c r="F51" s="8">
        <f t="shared" si="0"/>
        <v>0</v>
      </c>
    </row>
    <row r="52" spans="1:6" ht="30" x14ac:dyDescent="0.25">
      <c r="A52" s="4" t="s">
        <v>163</v>
      </c>
      <c r="B52" s="2" t="s">
        <v>136</v>
      </c>
      <c r="C52" s="3" t="s">
        <v>70</v>
      </c>
      <c r="D52" s="274">
        <v>30</v>
      </c>
      <c r="E52" s="8"/>
      <c r="F52" s="8">
        <f t="shared" si="0"/>
        <v>0</v>
      </c>
    </row>
    <row r="53" spans="1:6" ht="75" x14ac:dyDescent="0.25">
      <c r="A53" s="26" t="s">
        <v>164</v>
      </c>
      <c r="B53" s="2" t="s">
        <v>137</v>
      </c>
      <c r="C53" s="3" t="s">
        <v>70</v>
      </c>
      <c r="D53" s="274">
        <v>20</v>
      </c>
      <c r="E53" s="8"/>
      <c r="F53" s="8">
        <f t="shared" si="0"/>
        <v>0</v>
      </c>
    </row>
    <row r="54" spans="1:6" s="140" customFormat="1" ht="30" x14ac:dyDescent="0.25">
      <c r="A54" s="4" t="s">
        <v>111</v>
      </c>
      <c r="B54" s="5" t="s">
        <v>138</v>
      </c>
      <c r="C54" s="6" t="s">
        <v>55</v>
      </c>
      <c r="D54" s="274">
        <v>4</v>
      </c>
      <c r="E54" s="9"/>
      <c r="F54" s="9">
        <f t="shared" si="0"/>
        <v>0</v>
      </c>
    </row>
    <row r="55" spans="1:6" ht="30" x14ac:dyDescent="0.25">
      <c r="A55" s="26" t="s">
        <v>165</v>
      </c>
      <c r="B55" s="2" t="s">
        <v>112</v>
      </c>
      <c r="C55" s="3" t="s">
        <v>43</v>
      </c>
      <c r="D55" s="274">
        <f>4*2.9*0.1</f>
        <v>1.1599999999999999</v>
      </c>
      <c r="E55" s="8"/>
      <c r="F55" s="8">
        <f t="shared" si="0"/>
        <v>0</v>
      </c>
    </row>
    <row r="56" spans="1:6" s="142" customFormat="1" ht="15" x14ac:dyDescent="0.25">
      <c r="A56" s="26" t="s">
        <v>169</v>
      </c>
      <c r="B56" s="37" t="s">
        <v>139</v>
      </c>
      <c r="C56" s="38" t="s">
        <v>43</v>
      </c>
      <c r="D56" s="277">
        <v>10.8</v>
      </c>
      <c r="E56" s="39"/>
      <c r="F56" s="48">
        <f t="shared" si="0"/>
        <v>0</v>
      </c>
    </row>
    <row r="57" spans="1:6" ht="15" x14ac:dyDescent="0.25">
      <c r="A57" s="19"/>
      <c r="B57" s="15" t="s">
        <v>113</v>
      </c>
      <c r="C57" s="16"/>
      <c r="D57" s="278"/>
      <c r="E57" s="17"/>
      <c r="F57" s="18">
        <f>SUM(F5:F56)</f>
        <v>0</v>
      </c>
    </row>
    <row r="58" spans="1:6" s="138" customFormat="1" ht="18.75" x14ac:dyDescent="0.25">
      <c r="A58" s="22"/>
      <c r="B58" s="10" t="s">
        <v>193</v>
      </c>
      <c r="C58" s="23"/>
      <c r="D58" s="279"/>
      <c r="E58" s="23"/>
      <c r="F58" s="24"/>
    </row>
    <row r="59" spans="1:6" s="138" customFormat="1" ht="15" x14ac:dyDescent="0.25">
      <c r="A59" s="147">
        <v>57</v>
      </c>
      <c r="B59" s="148" t="s">
        <v>141</v>
      </c>
      <c r="C59" s="149" t="s">
        <v>50</v>
      </c>
      <c r="D59" s="280">
        <v>4.1500000000000004</v>
      </c>
      <c r="E59" s="149"/>
      <c r="F59" s="8">
        <f t="shared" ref="F59:F73" si="1">D59*E59</f>
        <v>0</v>
      </c>
    </row>
    <row r="60" spans="1:6" s="138" customFormat="1" ht="30" x14ac:dyDescent="0.25">
      <c r="A60" s="147">
        <v>58</v>
      </c>
      <c r="B60" s="150" t="s">
        <v>142</v>
      </c>
      <c r="C60" s="151" t="s">
        <v>43</v>
      </c>
      <c r="D60" s="281">
        <v>3.01</v>
      </c>
      <c r="E60" s="152"/>
      <c r="F60" s="8">
        <f t="shared" si="1"/>
        <v>0</v>
      </c>
    </row>
    <row r="61" spans="1:6" ht="30" x14ac:dyDescent="0.25">
      <c r="A61" s="147">
        <v>59</v>
      </c>
      <c r="B61" s="150" t="s">
        <v>143</v>
      </c>
      <c r="C61" s="151" t="s">
        <v>50</v>
      </c>
      <c r="D61" s="281">
        <v>2.54</v>
      </c>
      <c r="E61" s="151"/>
      <c r="F61" s="8">
        <f t="shared" si="1"/>
        <v>0</v>
      </c>
    </row>
    <row r="62" spans="1:6" ht="30" x14ac:dyDescent="0.25">
      <c r="A62" s="147">
        <v>60</v>
      </c>
      <c r="B62" s="150" t="s">
        <v>144</v>
      </c>
      <c r="C62" s="151" t="s">
        <v>145</v>
      </c>
      <c r="D62" s="281">
        <v>1</v>
      </c>
      <c r="E62" s="152"/>
      <c r="F62" s="8">
        <f t="shared" si="1"/>
        <v>0</v>
      </c>
    </row>
    <row r="63" spans="1:6" ht="45" x14ac:dyDescent="0.25">
      <c r="A63" s="147">
        <v>61</v>
      </c>
      <c r="B63" s="150" t="s">
        <v>146</v>
      </c>
      <c r="C63" s="151" t="s">
        <v>43</v>
      </c>
      <c r="D63" s="281">
        <v>0.2</v>
      </c>
      <c r="E63" s="152"/>
      <c r="F63" s="8">
        <f t="shared" si="1"/>
        <v>0</v>
      </c>
    </row>
    <row r="64" spans="1:6" ht="30" x14ac:dyDescent="0.25">
      <c r="A64" s="147">
        <v>62</v>
      </c>
      <c r="B64" s="150" t="s">
        <v>147</v>
      </c>
      <c r="C64" s="151" t="s">
        <v>50</v>
      </c>
      <c r="D64" s="281">
        <v>2</v>
      </c>
      <c r="E64" s="151"/>
      <c r="F64" s="8">
        <f t="shared" si="1"/>
        <v>0</v>
      </c>
    </row>
    <row r="65" spans="1:8" s="138" customFormat="1" ht="30" x14ac:dyDescent="0.25">
      <c r="A65" s="147">
        <v>63</v>
      </c>
      <c r="B65" s="150" t="s">
        <v>148</v>
      </c>
      <c r="C65" s="151" t="s">
        <v>50</v>
      </c>
      <c r="D65" s="281">
        <v>5.0199999999999996</v>
      </c>
      <c r="E65" s="151"/>
      <c r="F65" s="8">
        <f t="shared" si="1"/>
        <v>0</v>
      </c>
    </row>
    <row r="66" spans="1:8" s="138" customFormat="1" ht="30" x14ac:dyDescent="0.25">
      <c r="A66" s="147">
        <v>64</v>
      </c>
      <c r="B66" s="150" t="s">
        <v>149</v>
      </c>
      <c r="C66" s="151" t="s">
        <v>70</v>
      </c>
      <c r="D66" s="281">
        <v>6</v>
      </c>
      <c r="E66" s="151"/>
      <c r="F66" s="8">
        <f t="shared" si="1"/>
        <v>0</v>
      </c>
    </row>
    <row r="67" spans="1:8" s="138" customFormat="1" ht="30" x14ac:dyDescent="0.25">
      <c r="A67" s="147">
        <v>65</v>
      </c>
      <c r="B67" s="150" t="s">
        <v>150</v>
      </c>
      <c r="C67" s="151" t="s">
        <v>88</v>
      </c>
      <c r="D67" s="281">
        <v>1</v>
      </c>
      <c r="E67" s="151"/>
      <c r="F67" s="8">
        <f t="shared" si="1"/>
        <v>0</v>
      </c>
    </row>
    <row r="68" spans="1:8" s="138" customFormat="1" ht="30" x14ac:dyDescent="0.25">
      <c r="A68" s="147">
        <v>66</v>
      </c>
      <c r="B68" s="150" t="s">
        <v>151</v>
      </c>
      <c r="C68" s="151" t="s">
        <v>88</v>
      </c>
      <c r="D68" s="281">
        <v>1</v>
      </c>
      <c r="E68" s="151"/>
      <c r="F68" s="8">
        <f t="shared" si="1"/>
        <v>0</v>
      </c>
    </row>
    <row r="69" spans="1:8" s="138" customFormat="1" ht="15" x14ac:dyDescent="0.25">
      <c r="A69" s="147">
        <v>67</v>
      </c>
      <c r="B69" s="150" t="s">
        <v>152</v>
      </c>
      <c r="C69" s="151" t="s">
        <v>43</v>
      </c>
      <c r="D69" s="281">
        <v>3.93</v>
      </c>
      <c r="E69" s="151"/>
      <c r="F69" s="8">
        <f t="shared" si="1"/>
        <v>0</v>
      </c>
    </row>
    <row r="70" spans="1:8" ht="15" x14ac:dyDescent="0.25">
      <c r="A70" s="147">
        <v>68</v>
      </c>
      <c r="B70" s="150" t="s">
        <v>153</v>
      </c>
      <c r="C70" s="151" t="s">
        <v>43</v>
      </c>
      <c r="D70" s="281">
        <v>3.93</v>
      </c>
      <c r="E70" s="151"/>
      <c r="F70" s="8">
        <f t="shared" si="1"/>
        <v>0</v>
      </c>
    </row>
    <row r="71" spans="1:8" s="138" customFormat="1" ht="45" x14ac:dyDescent="0.25">
      <c r="A71" s="147">
        <v>69</v>
      </c>
      <c r="B71" s="150" t="s">
        <v>154</v>
      </c>
      <c r="C71" s="151" t="s">
        <v>43</v>
      </c>
      <c r="D71" s="281">
        <v>1.22</v>
      </c>
      <c r="E71" s="152"/>
      <c r="F71" s="8">
        <f t="shared" si="1"/>
        <v>0</v>
      </c>
    </row>
    <row r="72" spans="1:8" s="138" customFormat="1" ht="30" x14ac:dyDescent="0.25">
      <c r="A72" s="147">
        <v>70</v>
      </c>
      <c r="B72" s="150" t="s">
        <v>143</v>
      </c>
      <c r="C72" s="151" t="s">
        <v>50</v>
      </c>
      <c r="D72" s="281">
        <v>1.22</v>
      </c>
      <c r="E72" s="151"/>
      <c r="F72" s="8">
        <f t="shared" si="1"/>
        <v>0</v>
      </c>
    </row>
    <row r="73" spans="1:8" ht="60" x14ac:dyDescent="0.25">
      <c r="A73" s="147">
        <v>71</v>
      </c>
      <c r="B73" s="153" t="s">
        <v>155</v>
      </c>
      <c r="C73" s="154" t="s">
        <v>50</v>
      </c>
      <c r="D73" s="282">
        <v>130</v>
      </c>
      <c r="E73" s="154"/>
      <c r="F73" s="8">
        <f t="shared" si="1"/>
        <v>0</v>
      </c>
    </row>
    <row r="74" spans="1:8" ht="15.75" x14ac:dyDescent="0.25">
      <c r="A74" s="264"/>
      <c r="B74" s="269" t="s">
        <v>194</v>
      </c>
      <c r="C74" s="269"/>
      <c r="D74" s="283"/>
      <c r="E74" s="269"/>
      <c r="F74" s="264">
        <f>SUM(F59:F73)</f>
        <v>0</v>
      </c>
      <c r="G74" s="287"/>
      <c r="H74" s="287"/>
    </row>
    <row r="75" spans="1:8" ht="15.75" x14ac:dyDescent="0.25">
      <c r="A75" s="264"/>
      <c r="B75" s="267" t="s">
        <v>171</v>
      </c>
      <c r="C75" s="267"/>
      <c r="D75" s="130"/>
      <c r="E75" s="267"/>
      <c r="F75" s="264">
        <f>F74*2</f>
        <v>0</v>
      </c>
      <c r="G75" s="287"/>
      <c r="H75" s="287"/>
    </row>
    <row r="76" spans="1:8" ht="58.5" x14ac:dyDescent="0.25">
      <c r="A76" s="265"/>
      <c r="B76" s="265" t="s">
        <v>189</v>
      </c>
      <c r="C76" s="265"/>
      <c r="D76" s="20"/>
      <c r="E76" s="265"/>
      <c r="F76" s="25">
        <f>SUM(F75+F57)</f>
        <v>0</v>
      </c>
    </row>
  </sheetData>
  <sheetProtection algorithmName="SHA-512" hashValue="XWSqEnRlBzT2bBrunshZWHTpfPJ0sIE1CY220/079eqLpM2S6R/+BcnoTF1Fw/zwFfZ0UxuGm/j/2+mMZnidaA==" saltValue="vcB5qz+N0e2QFDwjgCdN8A==" spinCount="100000" sheet="1" objects="1" scenarios="1"/>
  <mergeCells count="1">
    <mergeCell ref="B2:C2"/>
  </mergeCells>
  <pageMargins left="0.46" right="0.34" top="0.47" bottom="0.38" header="0.3" footer="0.19"/>
  <pageSetup scale="85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5"/>
  <sheetViews>
    <sheetView topLeftCell="A168" zoomScale="85" zoomScaleNormal="85" workbookViewId="0">
      <selection activeCell="G175" sqref="G175"/>
    </sheetView>
  </sheetViews>
  <sheetFormatPr defaultRowHeight="50.45" customHeight="1" x14ac:dyDescent="0.25"/>
  <cols>
    <col min="1" max="1" width="3.85546875" style="131" customWidth="1"/>
    <col min="2" max="2" width="43.42578125" style="132" customWidth="1"/>
    <col min="3" max="3" width="16.85546875" style="162" customWidth="1"/>
    <col min="4" max="4" width="17.140625" style="378" customWidth="1"/>
    <col min="5" max="5" width="15.85546875" style="288" customWidth="1"/>
    <col min="6" max="6" width="17.42578125" style="288" bestFit="1" customWidth="1"/>
    <col min="7" max="7" width="12.5703125" style="132" bestFit="1" customWidth="1"/>
    <col min="8" max="8" width="10" style="132" customWidth="1"/>
    <col min="9" max="9" width="17.5703125" style="132" customWidth="1"/>
    <col min="10" max="10" width="16" style="132" customWidth="1"/>
    <col min="11" max="16384" width="9.140625" style="132"/>
  </cols>
  <sheetData>
    <row r="1" spans="1:6" ht="15" x14ac:dyDescent="0.25">
      <c r="B1" s="349" t="s">
        <v>195</v>
      </c>
      <c r="C1" s="349"/>
      <c r="D1" s="349"/>
      <c r="E1" s="349"/>
      <c r="F1" s="349"/>
    </row>
    <row r="2" spans="1:6" s="133" customFormat="1" ht="21" x14ac:dyDescent="0.35">
      <c r="A2" s="358" t="s">
        <v>196</v>
      </c>
      <c r="B2" s="358"/>
      <c r="C2" s="358"/>
      <c r="D2" s="358"/>
      <c r="E2" s="358"/>
      <c r="F2" s="358"/>
    </row>
    <row r="3" spans="1:6" s="133" customFormat="1" ht="21" x14ac:dyDescent="0.35">
      <c r="A3" s="359" t="s">
        <v>197</v>
      </c>
      <c r="B3" s="359"/>
      <c r="C3" s="387"/>
      <c r="D3" s="388"/>
      <c r="E3" s="360"/>
      <c r="F3" s="360"/>
    </row>
    <row r="4" spans="1:6" s="138" customFormat="1" ht="15" x14ac:dyDescent="0.25">
      <c r="A4" s="261" t="s">
        <v>18</v>
      </c>
      <c r="B4" s="262" t="s">
        <v>19</v>
      </c>
      <c r="C4" s="361" t="s">
        <v>20</v>
      </c>
      <c r="D4" s="389" t="s">
        <v>21</v>
      </c>
      <c r="E4" s="362" t="s">
        <v>22</v>
      </c>
      <c r="F4" s="362" t="s">
        <v>23</v>
      </c>
    </row>
    <row r="5" spans="1:6" ht="15" x14ac:dyDescent="0.25">
      <c r="A5" s="4" t="s">
        <v>24</v>
      </c>
      <c r="B5" s="28" t="s">
        <v>25</v>
      </c>
      <c r="C5" s="31" t="s">
        <v>26</v>
      </c>
      <c r="D5" s="390">
        <v>1</v>
      </c>
      <c r="E5" s="29"/>
      <c r="F5" s="8">
        <f t="shared" ref="F5:F50" si="0">D5*E5</f>
        <v>0</v>
      </c>
    </row>
    <row r="6" spans="1:6" s="138" customFormat="1" ht="18" x14ac:dyDescent="0.25">
      <c r="A6" s="4" t="s">
        <v>27</v>
      </c>
      <c r="B6" s="28" t="s">
        <v>28</v>
      </c>
      <c r="C6" s="31" t="s">
        <v>159</v>
      </c>
      <c r="D6" s="390">
        <f>14.4*9</f>
        <v>129.6</v>
      </c>
      <c r="E6" s="29"/>
      <c r="F6" s="8">
        <f t="shared" si="0"/>
        <v>0</v>
      </c>
    </row>
    <row r="7" spans="1:6" s="138" customFormat="1" ht="18" x14ac:dyDescent="0.25">
      <c r="A7" s="4" t="s">
        <v>30</v>
      </c>
      <c r="B7" s="28" t="s">
        <v>31</v>
      </c>
      <c r="C7" s="31" t="s">
        <v>160</v>
      </c>
      <c r="D7" s="390">
        <f>D6*0.5</f>
        <v>64.8</v>
      </c>
      <c r="E7" s="29"/>
      <c r="F7" s="8">
        <f t="shared" si="0"/>
        <v>0</v>
      </c>
    </row>
    <row r="8" spans="1:6" s="138" customFormat="1" ht="45" x14ac:dyDescent="0.25">
      <c r="A8" s="4" t="s">
        <v>33</v>
      </c>
      <c r="B8" s="28" t="s">
        <v>34</v>
      </c>
      <c r="C8" s="31" t="s">
        <v>160</v>
      </c>
      <c r="D8" s="390">
        <f>17.5*5.9*3</f>
        <v>309.75</v>
      </c>
      <c r="E8" s="29"/>
      <c r="F8" s="8">
        <f t="shared" si="0"/>
        <v>0</v>
      </c>
    </row>
    <row r="9" spans="1:6" ht="18" x14ac:dyDescent="0.25">
      <c r="A9" s="4" t="s">
        <v>35</v>
      </c>
      <c r="B9" s="2" t="s">
        <v>36</v>
      </c>
      <c r="C9" s="31" t="s">
        <v>160</v>
      </c>
      <c r="D9" s="391">
        <f>(14.5+2.9)*2*1.5*3</f>
        <v>156.6</v>
      </c>
      <c r="E9" s="8"/>
      <c r="F9" s="8">
        <f t="shared" si="0"/>
        <v>0</v>
      </c>
    </row>
    <row r="10" spans="1:6" s="138" customFormat="1" ht="18" x14ac:dyDescent="0.25">
      <c r="A10" s="4" t="s">
        <v>37</v>
      </c>
      <c r="B10" s="2" t="s">
        <v>38</v>
      </c>
      <c r="C10" s="31" t="s">
        <v>160</v>
      </c>
      <c r="D10" s="390">
        <f>D7+D8-D9</f>
        <v>217.95000000000002</v>
      </c>
      <c r="E10" s="8"/>
      <c r="F10" s="8">
        <f t="shared" si="0"/>
        <v>0</v>
      </c>
    </row>
    <row r="11" spans="1:6" s="138" customFormat="1" ht="45" x14ac:dyDescent="0.25">
      <c r="A11" s="4" t="s">
        <v>39</v>
      </c>
      <c r="B11" s="2" t="s">
        <v>40</v>
      </c>
      <c r="C11" s="31" t="s">
        <v>160</v>
      </c>
      <c r="D11" s="390">
        <f>(14.1+2.5)*0.4*0.05</f>
        <v>0.33200000000000007</v>
      </c>
      <c r="E11" s="8"/>
      <c r="F11" s="8">
        <f t="shared" si="0"/>
        <v>0</v>
      </c>
    </row>
    <row r="12" spans="1:6" s="138" customFormat="1" ht="45" x14ac:dyDescent="0.25">
      <c r="A12" s="4" t="s">
        <v>41</v>
      </c>
      <c r="B12" s="2" t="s">
        <v>42</v>
      </c>
      <c r="C12" s="3" t="s">
        <v>43</v>
      </c>
      <c r="D12" s="390">
        <f>(14.1+2.5)*0.4*3.6</f>
        <v>23.904000000000003</v>
      </c>
      <c r="E12" s="8"/>
      <c r="F12" s="8">
        <f t="shared" si="0"/>
        <v>0</v>
      </c>
    </row>
    <row r="13" spans="1:6" s="138" customFormat="1" ht="15" x14ac:dyDescent="0.25">
      <c r="A13" s="4" t="s">
        <v>44</v>
      </c>
      <c r="B13" s="2" t="s">
        <v>45</v>
      </c>
      <c r="C13" s="3" t="s">
        <v>43</v>
      </c>
      <c r="D13" s="390">
        <f>(14.1+2.5)*0.4*0.05</f>
        <v>0.33200000000000007</v>
      </c>
      <c r="E13" s="8"/>
      <c r="F13" s="8">
        <f t="shared" si="0"/>
        <v>0</v>
      </c>
    </row>
    <row r="14" spans="1:6" ht="15" x14ac:dyDescent="0.25">
      <c r="A14" s="4" t="s">
        <v>46</v>
      </c>
      <c r="B14" s="2" t="s">
        <v>47</v>
      </c>
      <c r="C14" s="3" t="s">
        <v>43</v>
      </c>
      <c r="D14" s="390">
        <f>(14.1+2.5)*0.25*0.2*3</f>
        <v>2.4900000000000002</v>
      </c>
      <c r="E14" s="8"/>
      <c r="F14" s="8">
        <f t="shared" si="0"/>
        <v>0</v>
      </c>
    </row>
    <row r="15" spans="1:6" s="138" customFormat="1" ht="30" x14ac:dyDescent="0.25">
      <c r="A15" s="4" t="s">
        <v>48</v>
      </c>
      <c r="B15" s="2" t="s">
        <v>49</v>
      </c>
      <c r="C15" s="3" t="s">
        <v>50</v>
      </c>
      <c r="D15" s="390">
        <f>(13.7+2.1)*2*3</f>
        <v>94.8</v>
      </c>
      <c r="E15" s="8"/>
      <c r="F15" s="8">
        <f t="shared" si="0"/>
        <v>0</v>
      </c>
    </row>
    <row r="16" spans="1:6" ht="30" x14ac:dyDescent="0.25">
      <c r="A16" s="4" t="s">
        <v>51</v>
      </c>
      <c r="B16" s="2" t="s">
        <v>52</v>
      </c>
      <c r="C16" s="3" t="s">
        <v>43</v>
      </c>
      <c r="D16" s="390">
        <f>13.7*2.1*0.3</f>
        <v>8.6310000000000002</v>
      </c>
      <c r="E16" s="8"/>
      <c r="F16" s="8">
        <f t="shared" si="0"/>
        <v>0</v>
      </c>
    </row>
    <row r="17" spans="1:6" s="138" customFormat="1" ht="45" x14ac:dyDescent="0.25">
      <c r="A17" s="4" t="s">
        <v>53</v>
      </c>
      <c r="B17" s="2" t="s">
        <v>54</v>
      </c>
      <c r="C17" s="3" t="s">
        <v>55</v>
      </c>
      <c r="D17" s="390">
        <v>1</v>
      </c>
      <c r="E17" s="8"/>
      <c r="F17" s="8">
        <f t="shared" si="0"/>
        <v>0</v>
      </c>
    </row>
    <row r="18" spans="1:6" s="138" customFormat="1" ht="30" x14ac:dyDescent="0.25">
      <c r="A18" s="4" t="s">
        <v>56</v>
      </c>
      <c r="B18" s="2" t="s">
        <v>57</v>
      </c>
      <c r="C18" s="3" t="s">
        <v>43</v>
      </c>
      <c r="D18" s="390">
        <f>13.4*8*0.15</f>
        <v>16.079999999999998</v>
      </c>
      <c r="E18" s="8"/>
      <c r="F18" s="8">
        <f t="shared" si="0"/>
        <v>0</v>
      </c>
    </row>
    <row r="19" spans="1:6" s="138" customFormat="1" ht="30" x14ac:dyDescent="0.25">
      <c r="A19" s="4" t="s">
        <v>58</v>
      </c>
      <c r="B19" s="2" t="s">
        <v>59</v>
      </c>
      <c r="C19" s="3" t="s">
        <v>50</v>
      </c>
      <c r="D19" s="390">
        <f>0.7*1.5*0.15*2</f>
        <v>0.31499999999999995</v>
      </c>
      <c r="E19" s="8"/>
      <c r="F19" s="8">
        <f t="shared" si="0"/>
        <v>0</v>
      </c>
    </row>
    <row r="20" spans="1:6" ht="15" x14ac:dyDescent="0.25">
      <c r="A20" s="4" t="s">
        <v>60</v>
      </c>
      <c r="B20" s="2" t="s">
        <v>61</v>
      </c>
      <c r="C20" s="3" t="s">
        <v>62</v>
      </c>
      <c r="D20" s="390">
        <v>74.400000000000006</v>
      </c>
      <c r="E20" s="8"/>
      <c r="F20" s="8">
        <f t="shared" si="0"/>
        <v>0</v>
      </c>
    </row>
    <row r="21" spans="1:6" s="138" customFormat="1" ht="30" x14ac:dyDescent="0.25">
      <c r="A21" s="4" t="s">
        <v>124</v>
      </c>
      <c r="B21" s="2" t="s">
        <v>119</v>
      </c>
      <c r="C21" s="3" t="s">
        <v>43</v>
      </c>
      <c r="D21" s="390">
        <f>0.2*0.2*3.4*8</f>
        <v>1.0880000000000001</v>
      </c>
      <c r="E21" s="8"/>
      <c r="F21" s="8">
        <f t="shared" si="0"/>
        <v>0</v>
      </c>
    </row>
    <row r="22" spans="1:6" s="138" customFormat="1" ht="30" x14ac:dyDescent="0.25">
      <c r="A22" s="4" t="s">
        <v>125</v>
      </c>
      <c r="B22" s="2" t="s">
        <v>121</v>
      </c>
      <c r="C22" s="3" t="s">
        <v>43</v>
      </c>
      <c r="D22" s="392">
        <f>(7.3*2+12.6*3)*0.2*0.2</f>
        <v>2.0960000000000001</v>
      </c>
      <c r="E22" s="8"/>
      <c r="F22" s="8">
        <f t="shared" si="0"/>
        <v>0</v>
      </c>
    </row>
    <row r="23" spans="1:6" s="138" customFormat="1" ht="30" x14ac:dyDescent="0.25">
      <c r="A23" s="4" t="s">
        <v>63</v>
      </c>
      <c r="B23" s="2" t="s">
        <v>64</v>
      </c>
      <c r="C23" s="3" t="s">
        <v>50</v>
      </c>
      <c r="D23" s="392">
        <f>(7.3*2+12.6*2)*3.4-1.2*3.4*2</f>
        <v>127.16</v>
      </c>
      <c r="E23" s="8"/>
      <c r="F23" s="8">
        <f t="shared" si="0"/>
        <v>0</v>
      </c>
    </row>
    <row r="24" spans="1:6" s="138" customFormat="1" ht="30" x14ac:dyDescent="0.25">
      <c r="A24" s="4" t="s">
        <v>127</v>
      </c>
      <c r="B24" s="2" t="s">
        <v>123</v>
      </c>
      <c r="C24" s="3" t="s">
        <v>50</v>
      </c>
      <c r="D24" s="390">
        <f>12.6*3.4+(12.6*2+1.1*18+8)*2.1-0.8*2.1*20</f>
        <v>120.54000000000002</v>
      </c>
      <c r="E24" s="8"/>
      <c r="F24" s="8">
        <f t="shared" si="0"/>
        <v>0</v>
      </c>
    </row>
    <row r="25" spans="1:6" ht="15" x14ac:dyDescent="0.25">
      <c r="A25" s="4" t="s">
        <v>65</v>
      </c>
      <c r="B25" s="2" t="s">
        <v>66</v>
      </c>
      <c r="C25" s="3" t="s">
        <v>67</v>
      </c>
      <c r="D25" s="390">
        <v>10</v>
      </c>
      <c r="E25" s="8"/>
      <c r="F25" s="8">
        <f t="shared" si="0"/>
        <v>0</v>
      </c>
    </row>
    <row r="26" spans="1:6" s="138" customFormat="1" ht="15" x14ac:dyDescent="0.25">
      <c r="A26" s="4" t="s">
        <v>68</v>
      </c>
      <c r="B26" s="2" t="s">
        <v>69</v>
      </c>
      <c r="C26" s="3" t="s">
        <v>70</v>
      </c>
      <c r="D26" s="392">
        <f>95.87*1.5</f>
        <v>143.80500000000001</v>
      </c>
      <c r="E26" s="8"/>
      <c r="F26" s="8">
        <f t="shared" si="0"/>
        <v>0</v>
      </c>
    </row>
    <row r="27" spans="1:6" s="138" customFormat="1" ht="30" x14ac:dyDescent="0.25">
      <c r="A27" s="4" t="s">
        <v>71</v>
      </c>
      <c r="B27" s="2" t="s">
        <v>126</v>
      </c>
      <c r="C27" s="3" t="s">
        <v>50</v>
      </c>
      <c r="D27" s="390">
        <f>13.4*8*1.15</f>
        <v>123.27999999999999</v>
      </c>
      <c r="E27" s="8"/>
      <c r="F27" s="8">
        <f t="shared" si="0"/>
        <v>0</v>
      </c>
    </row>
    <row r="28" spans="1:6" s="138" customFormat="1" ht="15" x14ac:dyDescent="0.25">
      <c r="A28" s="4" t="s">
        <v>73</v>
      </c>
      <c r="B28" s="2" t="s">
        <v>74</v>
      </c>
      <c r="C28" s="3" t="s">
        <v>70</v>
      </c>
      <c r="D28" s="390">
        <v>13.4</v>
      </c>
      <c r="E28" s="8"/>
      <c r="F28" s="8">
        <f t="shared" si="0"/>
        <v>0</v>
      </c>
    </row>
    <row r="29" spans="1:6" ht="15" x14ac:dyDescent="0.25">
      <c r="A29" s="4" t="s">
        <v>75</v>
      </c>
      <c r="B29" s="2" t="s">
        <v>76</v>
      </c>
      <c r="C29" s="3" t="s">
        <v>70</v>
      </c>
      <c r="D29" s="390">
        <f>13.4+16</f>
        <v>29.4</v>
      </c>
      <c r="E29" s="8"/>
      <c r="F29" s="8">
        <f t="shared" si="0"/>
        <v>0</v>
      </c>
    </row>
    <row r="30" spans="1:6" s="138" customFormat="1" ht="45" x14ac:dyDescent="0.25">
      <c r="A30" s="4" t="s">
        <v>77</v>
      </c>
      <c r="B30" s="2" t="s">
        <v>78</v>
      </c>
      <c r="C30" s="3" t="s">
        <v>79</v>
      </c>
      <c r="D30" s="393">
        <v>1</v>
      </c>
      <c r="E30" s="8"/>
      <c r="F30" s="8">
        <f t="shared" si="0"/>
        <v>0</v>
      </c>
    </row>
    <row r="31" spans="1:6" s="138" customFormat="1" ht="45" x14ac:dyDescent="0.25">
      <c r="A31" s="4" t="s">
        <v>80</v>
      </c>
      <c r="B31" s="2" t="s">
        <v>81</v>
      </c>
      <c r="C31" s="3" t="s">
        <v>50</v>
      </c>
      <c r="D31" s="390">
        <f>D24*2+D23</f>
        <v>368.24</v>
      </c>
      <c r="E31" s="8"/>
      <c r="F31" s="8">
        <f t="shared" si="0"/>
        <v>0</v>
      </c>
    </row>
    <row r="32" spans="1:6" ht="30" x14ac:dyDescent="0.25">
      <c r="A32" s="4" t="s">
        <v>82</v>
      </c>
      <c r="B32" s="2" t="s">
        <v>83</v>
      </c>
      <c r="C32" s="3" t="s">
        <v>50</v>
      </c>
      <c r="D32" s="390">
        <f>D23</f>
        <v>127.16</v>
      </c>
      <c r="E32" s="8"/>
      <c r="F32" s="8">
        <f t="shared" si="0"/>
        <v>0</v>
      </c>
    </row>
    <row r="33" spans="1:6" s="138" customFormat="1" ht="30" x14ac:dyDescent="0.25">
      <c r="A33" s="4" t="s">
        <v>84</v>
      </c>
      <c r="B33" s="2" t="s">
        <v>85</v>
      </c>
      <c r="C33" s="3" t="s">
        <v>26</v>
      </c>
      <c r="D33" s="390">
        <v>1</v>
      </c>
      <c r="E33" s="8"/>
      <c r="F33" s="8">
        <f t="shared" si="0"/>
        <v>0</v>
      </c>
    </row>
    <row r="34" spans="1:6" ht="15" x14ac:dyDescent="0.25">
      <c r="A34" s="4" t="s">
        <v>86</v>
      </c>
      <c r="B34" s="2" t="s">
        <v>90</v>
      </c>
      <c r="C34" s="3" t="s">
        <v>70</v>
      </c>
      <c r="D34" s="390">
        <f>(7.3*2+12.6*2)*2</f>
        <v>79.599999999999994</v>
      </c>
      <c r="E34" s="8"/>
      <c r="F34" s="8">
        <f t="shared" si="0"/>
        <v>0</v>
      </c>
    </row>
    <row r="35" spans="1:6" ht="30" x14ac:dyDescent="0.25">
      <c r="A35" s="4" t="s">
        <v>89</v>
      </c>
      <c r="B35" s="2" t="s">
        <v>92</v>
      </c>
      <c r="C35" s="3" t="s">
        <v>43</v>
      </c>
      <c r="D35" s="390">
        <f>8*13.4*0.05</f>
        <v>5.36</v>
      </c>
      <c r="E35" s="8"/>
      <c r="F35" s="8">
        <f t="shared" si="0"/>
        <v>0</v>
      </c>
    </row>
    <row r="36" spans="1:6" ht="15" x14ac:dyDescent="0.25">
      <c r="A36" s="4" t="s">
        <v>91</v>
      </c>
      <c r="B36" s="2" t="s">
        <v>94</v>
      </c>
      <c r="C36" s="3" t="s">
        <v>50</v>
      </c>
      <c r="D36" s="390">
        <f>12.6*7.3</f>
        <v>91.97999999999999</v>
      </c>
      <c r="E36" s="8"/>
      <c r="F36" s="8">
        <f t="shared" si="0"/>
        <v>0</v>
      </c>
    </row>
    <row r="37" spans="1:6" ht="15" x14ac:dyDescent="0.25">
      <c r="A37" s="4" t="s">
        <v>93</v>
      </c>
      <c r="B37" s="2" t="s">
        <v>96</v>
      </c>
      <c r="C37" s="3" t="s">
        <v>50</v>
      </c>
      <c r="D37" s="390">
        <f>8*13.4-D36</f>
        <v>15.220000000000013</v>
      </c>
      <c r="E37" s="8"/>
      <c r="F37" s="8">
        <f t="shared" si="0"/>
        <v>0</v>
      </c>
    </row>
    <row r="38" spans="1:6" s="138" customFormat="1" ht="45" x14ac:dyDescent="0.25">
      <c r="A38" s="4" t="s">
        <v>95</v>
      </c>
      <c r="B38" s="2" t="s">
        <v>129</v>
      </c>
      <c r="C38" s="3" t="s">
        <v>88</v>
      </c>
      <c r="D38" s="390">
        <v>20</v>
      </c>
      <c r="E38" s="8"/>
      <c r="F38" s="8">
        <f t="shared" si="0"/>
        <v>0</v>
      </c>
    </row>
    <row r="39" spans="1:6" s="140" customFormat="1" ht="30" x14ac:dyDescent="0.25">
      <c r="A39" s="26" t="s">
        <v>135</v>
      </c>
      <c r="B39" s="5" t="s">
        <v>131</v>
      </c>
      <c r="C39" s="6" t="s">
        <v>88</v>
      </c>
      <c r="D39" s="390">
        <v>10</v>
      </c>
      <c r="E39" s="9"/>
      <c r="F39" s="9">
        <f t="shared" si="0"/>
        <v>0</v>
      </c>
    </row>
    <row r="40" spans="1:6" s="140" customFormat="1" ht="15" x14ac:dyDescent="0.25">
      <c r="A40" s="4" t="s">
        <v>97</v>
      </c>
      <c r="B40" s="5" t="s">
        <v>132</v>
      </c>
      <c r="C40" s="6" t="s">
        <v>88</v>
      </c>
      <c r="D40" s="390">
        <v>6</v>
      </c>
      <c r="E40" s="9"/>
      <c r="F40" s="9">
        <f t="shared" si="0"/>
        <v>0</v>
      </c>
    </row>
    <row r="41" spans="1:6" ht="30" x14ac:dyDescent="0.25">
      <c r="A41" s="4" t="s">
        <v>105</v>
      </c>
      <c r="B41" s="2" t="s">
        <v>104</v>
      </c>
      <c r="C41" s="3" t="s">
        <v>50</v>
      </c>
      <c r="D41" s="390">
        <v>7.74</v>
      </c>
      <c r="E41" s="8"/>
      <c r="F41" s="8">
        <f t="shared" si="0"/>
        <v>0</v>
      </c>
    </row>
    <row r="42" spans="1:6" s="142" customFormat="1" ht="15" x14ac:dyDescent="0.25">
      <c r="A42" s="26" t="s">
        <v>107</v>
      </c>
      <c r="B42" s="5" t="s">
        <v>106</v>
      </c>
      <c r="C42" s="6" t="s">
        <v>26</v>
      </c>
      <c r="D42" s="390">
        <v>1</v>
      </c>
      <c r="E42" s="9"/>
      <c r="F42" s="8">
        <f t="shared" si="0"/>
        <v>0</v>
      </c>
    </row>
    <row r="43" spans="1:6" ht="30" x14ac:dyDescent="0.25">
      <c r="A43" s="4" t="s">
        <v>161</v>
      </c>
      <c r="B43" s="2" t="s">
        <v>108</v>
      </c>
      <c r="C43" s="3" t="s">
        <v>50</v>
      </c>
      <c r="D43" s="390">
        <f>D31</f>
        <v>368.24</v>
      </c>
      <c r="E43" s="8"/>
      <c r="F43" s="8">
        <f t="shared" si="0"/>
        <v>0</v>
      </c>
    </row>
    <row r="44" spans="1:6" s="138" customFormat="1" ht="60" x14ac:dyDescent="0.25">
      <c r="A44" s="26" t="s">
        <v>109</v>
      </c>
      <c r="B44" s="5" t="s">
        <v>133</v>
      </c>
      <c r="C44" s="3" t="s">
        <v>55</v>
      </c>
      <c r="D44" s="390">
        <v>20</v>
      </c>
      <c r="E44" s="8"/>
      <c r="F44" s="8">
        <f t="shared" si="0"/>
        <v>0</v>
      </c>
    </row>
    <row r="45" spans="1:6" s="138" customFormat="1" ht="30" x14ac:dyDescent="0.25">
      <c r="A45" s="26" t="s">
        <v>162</v>
      </c>
      <c r="B45" s="2" t="s">
        <v>134</v>
      </c>
      <c r="C45" s="3" t="s">
        <v>43</v>
      </c>
      <c r="D45" s="390">
        <f>1.1*4*0.6*0.1*2</f>
        <v>0.52800000000000002</v>
      </c>
      <c r="E45" s="8"/>
      <c r="F45" s="8">
        <f t="shared" si="0"/>
        <v>0</v>
      </c>
    </row>
    <row r="46" spans="1:6" ht="30" x14ac:dyDescent="0.25">
      <c r="A46" s="4" t="s">
        <v>163</v>
      </c>
      <c r="B46" s="2" t="s">
        <v>136</v>
      </c>
      <c r="C46" s="3" t="s">
        <v>70</v>
      </c>
      <c r="D46" s="390">
        <v>40</v>
      </c>
      <c r="E46" s="8"/>
      <c r="F46" s="8">
        <f t="shared" si="0"/>
        <v>0</v>
      </c>
    </row>
    <row r="47" spans="1:6" ht="75" x14ac:dyDescent="0.25">
      <c r="A47" s="26" t="s">
        <v>164</v>
      </c>
      <c r="B47" s="2" t="s">
        <v>137</v>
      </c>
      <c r="C47" s="3" t="s">
        <v>70</v>
      </c>
      <c r="D47" s="390">
        <v>30</v>
      </c>
      <c r="E47" s="8"/>
      <c r="F47" s="8">
        <f t="shared" si="0"/>
        <v>0</v>
      </c>
    </row>
    <row r="48" spans="1:6" s="140" customFormat="1" ht="30" x14ac:dyDescent="0.25">
      <c r="A48" s="4" t="s">
        <v>111</v>
      </c>
      <c r="B48" s="5" t="s">
        <v>138</v>
      </c>
      <c r="C48" s="6" t="s">
        <v>55</v>
      </c>
      <c r="D48" s="390">
        <v>6</v>
      </c>
      <c r="E48" s="9"/>
      <c r="F48" s="9">
        <f t="shared" si="0"/>
        <v>0</v>
      </c>
    </row>
    <row r="49" spans="1:6" ht="30" x14ac:dyDescent="0.25">
      <c r="A49" s="26" t="s">
        <v>165</v>
      </c>
      <c r="B49" s="2" t="s">
        <v>112</v>
      </c>
      <c r="C49" s="3" t="s">
        <v>43</v>
      </c>
      <c r="D49" s="390">
        <f>4*2.9*0.1</f>
        <v>1.1599999999999999</v>
      </c>
      <c r="E49" s="8"/>
      <c r="F49" s="8">
        <f t="shared" si="0"/>
        <v>0</v>
      </c>
    </row>
    <row r="50" spans="1:6" s="363" customFormat="1" ht="15" x14ac:dyDescent="0.25">
      <c r="A50" s="113" t="s">
        <v>166</v>
      </c>
      <c r="B50" s="114" t="s">
        <v>139</v>
      </c>
      <c r="C50" s="115" t="s">
        <v>43</v>
      </c>
      <c r="D50" s="394">
        <v>10.8</v>
      </c>
      <c r="E50" s="116"/>
      <c r="F50" s="116">
        <f t="shared" si="0"/>
        <v>0</v>
      </c>
    </row>
    <row r="51" spans="1:6" ht="15" x14ac:dyDescent="0.25">
      <c r="A51" s="19"/>
      <c r="B51" s="15" t="s">
        <v>113</v>
      </c>
      <c r="C51" s="16"/>
      <c r="D51" s="395"/>
      <c r="E51" s="17"/>
      <c r="F51" s="17">
        <f>SUM(F5:F50)</f>
        <v>0</v>
      </c>
    </row>
    <row r="52" spans="1:6" s="138" customFormat="1" ht="18.75" x14ac:dyDescent="0.25">
      <c r="A52" s="22"/>
      <c r="B52" s="10" t="s">
        <v>198</v>
      </c>
      <c r="C52" s="23"/>
      <c r="D52" s="396"/>
      <c r="E52" s="124"/>
      <c r="F52" s="125"/>
    </row>
    <row r="53" spans="1:6" s="138" customFormat="1" ht="15" x14ac:dyDescent="0.25">
      <c r="A53" s="147">
        <v>60</v>
      </c>
      <c r="B53" s="148" t="s">
        <v>141</v>
      </c>
      <c r="C53" s="364" t="s">
        <v>50</v>
      </c>
      <c r="D53" s="397">
        <v>4.1500000000000004</v>
      </c>
      <c r="E53" s="365"/>
      <c r="F53" s="116">
        <f t="shared" ref="F53:F67" si="1">D53*E53</f>
        <v>0</v>
      </c>
    </row>
    <row r="54" spans="1:6" s="138" customFormat="1" ht="30" x14ac:dyDescent="0.25">
      <c r="A54" s="147">
        <v>61</v>
      </c>
      <c r="B54" s="150" t="s">
        <v>142</v>
      </c>
      <c r="C54" s="366" t="s">
        <v>43</v>
      </c>
      <c r="D54" s="398">
        <v>3.01</v>
      </c>
      <c r="E54" s="367"/>
      <c r="F54" s="116">
        <f t="shared" si="1"/>
        <v>0</v>
      </c>
    </row>
    <row r="55" spans="1:6" ht="30" x14ac:dyDescent="0.25">
      <c r="A55" s="147">
        <v>62</v>
      </c>
      <c r="B55" s="150" t="s">
        <v>143</v>
      </c>
      <c r="C55" s="366" t="s">
        <v>50</v>
      </c>
      <c r="D55" s="398">
        <v>2.54</v>
      </c>
      <c r="E55" s="367"/>
      <c r="F55" s="116">
        <f t="shared" si="1"/>
        <v>0</v>
      </c>
    </row>
    <row r="56" spans="1:6" ht="30" x14ac:dyDescent="0.25">
      <c r="A56" s="147">
        <v>63</v>
      </c>
      <c r="B56" s="150" t="s">
        <v>144</v>
      </c>
      <c r="C56" s="366" t="s">
        <v>145</v>
      </c>
      <c r="D56" s="398">
        <v>1</v>
      </c>
      <c r="E56" s="367"/>
      <c r="F56" s="116">
        <f t="shared" si="1"/>
        <v>0</v>
      </c>
    </row>
    <row r="57" spans="1:6" ht="45" x14ac:dyDescent="0.25">
      <c r="A57" s="147">
        <v>64</v>
      </c>
      <c r="B57" s="150" t="s">
        <v>146</v>
      </c>
      <c r="C57" s="366" t="s">
        <v>43</v>
      </c>
      <c r="D57" s="398">
        <v>0.2</v>
      </c>
      <c r="E57" s="367"/>
      <c r="F57" s="116">
        <f t="shared" si="1"/>
        <v>0</v>
      </c>
    </row>
    <row r="58" spans="1:6" ht="30" x14ac:dyDescent="0.25">
      <c r="A58" s="147">
        <v>65</v>
      </c>
      <c r="B58" s="150" t="s">
        <v>147</v>
      </c>
      <c r="C58" s="366" t="s">
        <v>50</v>
      </c>
      <c r="D58" s="398">
        <v>2</v>
      </c>
      <c r="E58" s="367"/>
      <c r="F58" s="116">
        <f t="shared" si="1"/>
        <v>0</v>
      </c>
    </row>
    <row r="59" spans="1:6" s="138" customFormat="1" ht="30" x14ac:dyDescent="0.25">
      <c r="A59" s="147">
        <v>66</v>
      </c>
      <c r="B59" s="150" t="s">
        <v>148</v>
      </c>
      <c r="C59" s="366" t="s">
        <v>50</v>
      </c>
      <c r="D59" s="398">
        <v>5.0199999999999996</v>
      </c>
      <c r="E59" s="367"/>
      <c r="F59" s="116">
        <f t="shared" si="1"/>
        <v>0</v>
      </c>
    </row>
    <row r="60" spans="1:6" s="138" customFormat="1" ht="30" x14ac:dyDescent="0.25">
      <c r="A60" s="147">
        <v>67</v>
      </c>
      <c r="B60" s="150" t="s">
        <v>149</v>
      </c>
      <c r="C60" s="366" t="s">
        <v>70</v>
      </c>
      <c r="D60" s="398">
        <v>6</v>
      </c>
      <c r="E60" s="367"/>
      <c r="F60" s="116">
        <f t="shared" si="1"/>
        <v>0</v>
      </c>
    </row>
    <row r="61" spans="1:6" s="138" customFormat="1" ht="30" x14ac:dyDescent="0.25">
      <c r="A61" s="147">
        <v>68</v>
      </c>
      <c r="B61" s="150" t="s">
        <v>150</v>
      </c>
      <c r="C61" s="366" t="s">
        <v>88</v>
      </c>
      <c r="D61" s="398">
        <v>1</v>
      </c>
      <c r="E61" s="367"/>
      <c r="F61" s="116">
        <f t="shared" si="1"/>
        <v>0</v>
      </c>
    </row>
    <row r="62" spans="1:6" s="138" customFormat="1" ht="30" x14ac:dyDescent="0.25">
      <c r="A62" s="147">
        <v>69</v>
      </c>
      <c r="B62" s="150" t="s">
        <v>151</v>
      </c>
      <c r="C62" s="366" t="s">
        <v>88</v>
      </c>
      <c r="D62" s="398">
        <v>1</v>
      </c>
      <c r="E62" s="367"/>
      <c r="F62" s="116">
        <f t="shared" si="1"/>
        <v>0</v>
      </c>
    </row>
    <row r="63" spans="1:6" s="138" customFormat="1" ht="15" x14ac:dyDescent="0.25">
      <c r="A63" s="147">
        <v>70</v>
      </c>
      <c r="B63" s="150" t="s">
        <v>152</v>
      </c>
      <c r="C63" s="366" t="s">
        <v>43</v>
      </c>
      <c r="D63" s="398">
        <v>3.93</v>
      </c>
      <c r="E63" s="367"/>
      <c r="F63" s="116">
        <f t="shared" si="1"/>
        <v>0</v>
      </c>
    </row>
    <row r="64" spans="1:6" ht="15" x14ac:dyDescent="0.25">
      <c r="A64" s="147">
        <v>71</v>
      </c>
      <c r="B64" s="150" t="s">
        <v>153</v>
      </c>
      <c r="C64" s="366" t="s">
        <v>43</v>
      </c>
      <c r="D64" s="398">
        <v>3.93</v>
      </c>
      <c r="E64" s="367"/>
      <c r="F64" s="116">
        <f t="shared" si="1"/>
        <v>0</v>
      </c>
    </row>
    <row r="65" spans="1:6" s="138" customFormat="1" ht="45" x14ac:dyDescent="0.25">
      <c r="A65" s="147">
        <v>72</v>
      </c>
      <c r="B65" s="150" t="s">
        <v>154</v>
      </c>
      <c r="C65" s="366" t="s">
        <v>43</v>
      </c>
      <c r="D65" s="398">
        <v>1.22</v>
      </c>
      <c r="E65" s="367"/>
      <c r="F65" s="116">
        <f t="shared" si="1"/>
        <v>0</v>
      </c>
    </row>
    <row r="66" spans="1:6" s="138" customFormat="1" ht="30" x14ac:dyDescent="0.25">
      <c r="A66" s="147">
        <v>73</v>
      </c>
      <c r="B66" s="150" t="s">
        <v>143</v>
      </c>
      <c r="C66" s="366" t="s">
        <v>50</v>
      </c>
      <c r="D66" s="398">
        <v>1.22</v>
      </c>
      <c r="E66" s="367"/>
      <c r="F66" s="116">
        <f t="shared" si="1"/>
        <v>0</v>
      </c>
    </row>
    <row r="67" spans="1:6" ht="60" x14ac:dyDescent="0.25">
      <c r="A67" s="147">
        <v>74</v>
      </c>
      <c r="B67" s="153" t="s">
        <v>155</v>
      </c>
      <c r="C67" s="368" t="s">
        <v>50</v>
      </c>
      <c r="D67" s="399">
        <v>130</v>
      </c>
      <c r="E67" s="369"/>
      <c r="F67" s="116">
        <f t="shared" si="1"/>
        <v>0</v>
      </c>
    </row>
    <row r="68" spans="1:6" ht="15" x14ac:dyDescent="0.25">
      <c r="A68" s="21"/>
      <c r="B68" s="12" t="s">
        <v>199</v>
      </c>
      <c r="C68" s="13"/>
      <c r="D68" s="400"/>
      <c r="E68" s="14"/>
      <c r="F68" s="14">
        <f>SUM(F53:F67)</f>
        <v>0</v>
      </c>
    </row>
    <row r="69" spans="1:6" ht="39" x14ac:dyDescent="0.25">
      <c r="B69" s="265" t="s">
        <v>167</v>
      </c>
      <c r="C69" s="370"/>
      <c r="D69" s="401"/>
      <c r="E69" s="371"/>
      <c r="F69" s="111">
        <f>SUM(F68+F51)</f>
        <v>0</v>
      </c>
    </row>
    <row r="70" spans="1:6" s="138" customFormat="1" ht="33" customHeight="1" x14ac:dyDescent="0.25">
      <c r="A70" s="372" t="s">
        <v>200</v>
      </c>
      <c r="B70" s="373"/>
      <c r="C70" s="374"/>
      <c r="D70" s="402"/>
      <c r="E70" s="375"/>
      <c r="F70" s="376"/>
    </row>
    <row r="71" spans="1:6" ht="15" x14ac:dyDescent="0.25">
      <c r="A71" s="4" t="s">
        <v>24</v>
      </c>
      <c r="B71" s="28" t="s">
        <v>25</v>
      </c>
      <c r="C71" s="31" t="s">
        <v>26</v>
      </c>
      <c r="D71" s="390">
        <v>1</v>
      </c>
      <c r="E71" s="29"/>
      <c r="F71" s="8">
        <f t="shared" ref="F71:F121" si="2">D71*E71</f>
        <v>0</v>
      </c>
    </row>
    <row r="72" spans="1:6" s="138" customFormat="1" ht="18" x14ac:dyDescent="0.25">
      <c r="A72" s="4" t="s">
        <v>27</v>
      </c>
      <c r="B72" s="28" t="s">
        <v>28</v>
      </c>
      <c r="C72" s="31" t="s">
        <v>159</v>
      </c>
      <c r="D72" s="390">
        <f>14.3*9</f>
        <v>128.70000000000002</v>
      </c>
      <c r="E72" s="29"/>
      <c r="F72" s="8">
        <f t="shared" si="2"/>
        <v>0</v>
      </c>
    </row>
    <row r="73" spans="1:6" s="138" customFormat="1" ht="18" x14ac:dyDescent="0.25">
      <c r="A73" s="4" t="s">
        <v>30</v>
      </c>
      <c r="B73" s="28" t="s">
        <v>31</v>
      </c>
      <c r="C73" s="31" t="s">
        <v>160</v>
      </c>
      <c r="D73" s="390">
        <f>D72*0.5</f>
        <v>64.350000000000009</v>
      </c>
      <c r="E73" s="29"/>
      <c r="F73" s="8">
        <f t="shared" si="2"/>
        <v>0</v>
      </c>
    </row>
    <row r="74" spans="1:6" s="138" customFormat="1" ht="45" x14ac:dyDescent="0.25">
      <c r="A74" s="4" t="s">
        <v>33</v>
      </c>
      <c r="B74" s="28" t="s">
        <v>34</v>
      </c>
      <c r="C74" s="31" t="s">
        <v>160</v>
      </c>
      <c r="D74" s="390">
        <f>17.3*5.9*3</f>
        <v>306.21000000000004</v>
      </c>
      <c r="E74" s="29"/>
      <c r="F74" s="8">
        <f t="shared" si="2"/>
        <v>0</v>
      </c>
    </row>
    <row r="75" spans="1:6" ht="18" x14ac:dyDescent="0.25">
      <c r="A75" s="4" t="s">
        <v>35</v>
      </c>
      <c r="B75" s="2" t="s">
        <v>36</v>
      </c>
      <c r="C75" s="31" t="s">
        <v>160</v>
      </c>
      <c r="D75" s="391">
        <f>(14.3+2.9)*2*1.5*3</f>
        <v>154.79999999999998</v>
      </c>
      <c r="E75" s="8"/>
      <c r="F75" s="8">
        <f t="shared" si="2"/>
        <v>0</v>
      </c>
    </row>
    <row r="76" spans="1:6" s="138" customFormat="1" ht="18" x14ac:dyDescent="0.25">
      <c r="A76" s="4" t="s">
        <v>37</v>
      </c>
      <c r="B76" s="2" t="s">
        <v>38</v>
      </c>
      <c r="C76" s="31" t="s">
        <v>160</v>
      </c>
      <c r="D76" s="390">
        <f>D73+D74-D75</f>
        <v>215.76000000000008</v>
      </c>
      <c r="E76" s="8"/>
      <c r="F76" s="8">
        <f t="shared" si="2"/>
        <v>0</v>
      </c>
    </row>
    <row r="77" spans="1:6" s="138" customFormat="1" ht="45" x14ac:dyDescent="0.25">
      <c r="A77" s="4" t="s">
        <v>39</v>
      </c>
      <c r="B77" s="2" t="s">
        <v>40</v>
      </c>
      <c r="C77" s="31" t="s">
        <v>160</v>
      </c>
      <c r="D77" s="390">
        <f>(13.9+2.5)*2*0.4*0.05</f>
        <v>0.65600000000000003</v>
      </c>
      <c r="E77" s="8"/>
      <c r="F77" s="8">
        <f t="shared" si="2"/>
        <v>0</v>
      </c>
    </row>
    <row r="78" spans="1:6" s="138" customFormat="1" ht="45" x14ac:dyDescent="0.25">
      <c r="A78" s="4" t="s">
        <v>41</v>
      </c>
      <c r="B78" s="2" t="s">
        <v>42</v>
      </c>
      <c r="C78" s="3" t="s">
        <v>43</v>
      </c>
      <c r="D78" s="390">
        <f>(13.9+2.5)*2*0.4*3</f>
        <v>39.36</v>
      </c>
      <c r="E78" s="8"/>
      <c r="F78" s="8">
        <f t="shared" si="2"/>
        <v>0</v>
      </c>
    </row>
    <row r="79" spans="1:6" s="138" customFormat="1" ht="15" x14ac:dyDescent="0.25">
      <c r="A79" s="4" t="s">
        <v>44</v>
      </c>
      <c r="B79" s="2" t="s">
        <v>45</v>
      </c>
      <c r="C79" s="3" t="s">
        <v>43</v>
      </c>
      <c r="D79" s="390">
        <f>(13.9+2.5)*2*0.4*0.05</f>
        <v>0.65600000000000003</v>
      </c>
      <c r="E79" s="8"/>
      <c r="F79" s="8">
        <f t="shared" si="2"/>
        <v>0</v>
      </c>
    </row>
    <row r="80" spans="1:6" ht="15" x14ac:dyDescent="0.25">
      <c r="A80" s="4" t="s">
        <v>46</v>
      </c>
      <c r="B80" s="2" t="s">
        <v>47</v>
      </c>
      <c r="C80" s="3" t="s">
        <v>43</v>
      </c>
      <c r="D80" s="390">
        <f>(13.9+2.5)*2*0.2*0.25*3</f>
        <v>4.92</v>
      </c>
      <c r="E80" s="8"/>
      <c r="F80" s="8">
        <f t="shared" si="2"/>
        <v>0</v>
      </c>
    </row>
    <row r="81" spans="1:6" s="138" customFormat="1" ht="30" x14ac:dyDescent="0.25">
      <c r="A81" s="4" t="s">
        <v>48</v>
      </c>
      <c r="B81" s="2" t="s">
        <v>49</v>
      </c>
      <c r="C81" s="3" t="s">
        <v>50</v>
      </c>
      <c r="D81" s="390">
        <f>(13.5+2.1)*2*3</f>
        <v>93.6</v>
      </c>
      <c r="E81" s="8"/>
      <c r="F81" s="8">
        <f t="shared" si="2"/>
        <v>0</v>
      </c>
    </row>
    <row r="82" spans="1:6" ht="30" x14ac:dyDescent="0.25">
      <c r="A82" s="4" t="s">
        <v>51</v>
      </c>
      <c r="B82" s="2" t="s">
        <v>52</v>
      </c>
      <c r="C82" s="3" t="s">
        <v>43</v>
      </c>
      <c r="D82" s="390">
        <f>13.5*2.1*0.3</f>
        <v>8.5050000000000008</v>
      </c>
      <c r="E82" s="8"/>
      <c r="F82" s="8">
        <f t="shared" si="2"/>
        <v>0</v>
      </c>
    </row>
    <row r="83" spans="1:6" s="138" customFormat="1" ht="45" x14ac:dyDescent="0.25">
      <c r="A83" s="4" t="s">
        <v>53</v>
      </c>
      <c r="B83" s="2" t="s">
        <v>54</v>
      </c>
      <c r="C83" s="3" t="s">
        <v>55</v>
      </c>
      <c r="D83" s="390">
        <v>1</v>
      </c>
      <c r="E83" s="8"/>
      <c r="F83" s="8">
        <f t="shared" si="2"/>
        <v>0</v>
      </c>
    </row>
    <row r="84" spans="1:6" s="138" customFormat="1" ht="30" x14ac:dyDescent="0.25">
      <c r="A84" s="4" t="s">
        <v>56</v>
      </c>
      <c r="B84" s="2" t="s">
        <v>57</v>
      </c>
      <c r="C84" s="3" t="s">
        <v>43</v>
      </c>
      <c r="D84" s="390">
        <f>13.3*8*0.15-D85</f>
        <v>15.690000000000001</v>
      </c>
      <c r="E84" s="8"/>
      <c r="F84" s="8">
        <f t="shared" si="2"/>
        <v>0</v>
      </c>
    </row>
    <row r="85" spans="1:6" s="138" customFormat="1" ht="30" x14ac:dyDescent="0.25">
      <c r="A85" s="4" t="s">
        <v>58</v>
      </c>
      <c r="B85" s="2" t="s">
        <v>59</v>
      </c>
      <c r="C85" s="3" t="s">
        <v>50</v>
      </c>
      <c r="D85" s="390">
        <f>1.5*0.6*0.15*2</f>
        <v>0.26999999999999996</v>
      </c>
      <c r="E85" s="8"/>
      <c r="F85" s="8">
        <f t="shared" si="2"/>
        <v>0</v>
      </c>
    </row>
    <row r="86" spans="1:6" ht="15" x14ac:dyDescent="0.25">
      <c r="A86" s="4" t="s">
        <v>60</v>
      </c>
      <c r="B86" s="2" t="s">
        <v>61</v>
      </c>
      <c r="C86" s="3" t="s">
        <v>62</v>
      </c>
      <c r="D86" s="390">
        <v>81.2</v>
      </c>
      <c r="E86" s="8"/>
      <c r="F86" s="8">
        <f t="shared" si="2"/>
        <v>0</v>
      </c>
    </row>
    <row r="87" spans="1:6" s="138" customFormat="1" ht="30" x14ac:dyDescent="0.25">
      <c r="A87" s="4" t="s">
        <v>124</v>
      </c>
      <c r="B87" s="2" t="s">
        <v>119</v>
      </c>
      <c r="C87" s="3" t="s">
        <v>43</v>
      </c>
      <c r="D87" s="390">
        <f>0.2*0.2*3.4*8</f>
        <v>1.0880000000000001</v>
      </c>
      <c r="E87" s="8"/>
      <c r="F87" s="8">
        <f t="shared" si="2"/>
        <v>0</v>
      </c>
    </row>
    <row r="88" spans="1:6" s="138" customFormat="1" ht="30" x14ac:dyDescent="0.25">
      <c r="A88" s="4" t="s">
        <v>125</v>
      </c>
      <c r="B88" s="2" t="s">
        <v>121</v>
      </c>
      <c r="C88" s="3" t="s">
        <v>43</v>
      </c>
      <c r="D88" s="392">
        <f>(10*3+7.3*2+6)*0.2*0.2</f>
        <v>2.0240000000000005</v>
      </c>
      <c r="E88" s="8"/>
      <c r="F88" s="8">
        <f t="shared" si="2"/>
        <v>0</v>
      </c>
    </row>
    <row r="89" spans="1:6" s="138" customFormat="1" ht="30" x14ac:dyDescent="0.25">
      <c r="A89" s="4" t="s">
        <v>63</v>
      </c>
      <c r="B89" s="2" t="s">
        <v>64</v>
      </c>
      <c r="C89" s="3" t="s">
        <v>50</v>
      </c>
      <c r="D89" s="392">
        <f>(10*2+7.3*2+4)*3.4-1.2*3.4*3</f>
        <v>119.00000000000001</v>
      </c>
      <c r="E89" s="8"/>
      <c r="F89" s="8">
        <f t="shared" si="2"/>
        <v>0</v>
      </c>
    </row>
    <row r="90" spans="1:6" s="138" customFormat="1" ht="30" x14ac:dyDescent="0.25">
      <c r="A90" s="4" t="s">
        <v>127</v>
      </c>
      <c r="B90" s="2" t="s">
        <v>123</v>
      </c>
      <c r="C90" s="3" t="s">
        <v>50</v>
      </c>
      <c r="D90" s="390">
        <f>10*3.4+(10*2+1.1*14+8)*2.1-0.8*2.1*14</f>
        <v>101.62</v>
      </c>
      <c r="E90" s="8"/>
      <c r="F90" s="8">
        <f t="shared" si="2"/>
        <v>0</v>
      </c>
    </row>
    <row r="91" spans="1:6" ht="15" x14ac:dyDescent="0.25">
      <c r="A91" s="4" t="s">
        <v>65</v>
      </c>
      <c r="B91" s="2" t="s">
        <v>66</v>
      </c>
      <c r="C91" s="3" t="s">
        <v>67</v>
      </c>
      <c r="D91" s="390">
        <v>12</v>
      </c>
      <c r="E91" s="8"/>
      <c r="F91" s="8">
        <f t="shared" si="2"/>
        <v>0</v>
      </c>
    </row>
    <row r="92" spans="1:6" s="138" customFormat="1" ht="15" x14ac:dyDescent="0.25">
      <c r="A92" s="4" t="s">
        <v>68</v>
      </c>
      <c r="B92" s="2" t="s">
        <v>69</v>
      </c>
      <c r="C92" s="3" t="s">
        <v>70</v>
      </c>
      <c r="D92" s="392">
        <f>95.87*1.4</f>
        <v>134.21799999999999</v>
      </c>
      <c r="E92" s="8"/>
      <c r="F92" s="8">
        <f t="shared" si="2"/>
        <v>0</v>
      </c>
    </row>
    <row r="93" spans="1:6" s="138" customFormat="1" ht="30" x14ac:dyDescent="0.25">
      <c r="A93" s="4" t="s">
        <v>71</v>
      </c>
      <c r="B93" s="2" t="s">
        <v>126</v>
      </c>
      <c r="C93" s="3" t="s">
        <v>50</v>
      </c>
      <c r="D93" s="390">
        <f>13.3*8*1.15</f>
        <v>122.36</v>
      </c>
      <c r="E93" s="8"/>
      <c r="F93" s="8">
        <f t="shared" si="2"/>
        <v>0</v>
      </c>
    </row>
    <row r="94" spans="1:6" s="138" customFormat="1" ht="15" x14ac:dyDescent="0.25">
      <c r="A94" s="4" t="s">
        <v>73</v>
      </c>
      <c r="B94" s="2" t="s">
        <v>74</v>
      </c>
      <c r="C94" s="3" t="s">
        <v>70</v>
      </c>
      <c r="D94" s="390">
        <v>13.3</v>
      </c>
      <c r="E94" s="8"/>
      <c r="F94" s="8">
        <f t="shared" si="2"/>
        <v>0</v>
      </c>
    </row>
    <row r="95" spans="1:6" ht="15" x14ac:dyDescent="0.25">
      <c r="A95" s="4" t="s">
        <v>75</v>
      </c>
      <c r="B95" s="2" t="s">
        <v>76</v>
      </c>
      <c r="C95" s="3" t="s">
        <v>70</v>
      </c>
      <c r="D95" s="390">
        <f>13.3+16*1.1</f>
        <v>30.900000000000002</v>
      </c>
      <c r="E95" s="8"/>
      <c r="F95" s="8">
        <f t="shared" si="2"/>
        <v>0</v>
      </c>
    </row>
    <row r="96" spans="1:6" s="138" customFormat="1" ht="45" x14ac:dyDescent="0.25">
      <c r="A96" s="4" t="s">
        <v>77</v>
      </c>
      <c r="B96" s="2" t="s">
        <v>78</v>
      </c>
      <c r="C96" s="3" t="s">
        <v>79</v>
      </c>
      <c r="D96" s="393">
        <v>1</v>
      </c>
      <c r="E96" s="8"/>
      <c r="F96" s="8">
        <f t="shared" si="2"/>
        <v>0</v>
      </c>
    </row>
    <row r="97" spans="1:6" s="138" customFormat="1" ht="45" x14ac:dyDescent="0.25">
      <c r="A97" s="4" t="s">
        <v>80</v>
      </c>
      <c r="B97" s="2" t="s">
        <v>81</v>
      </c>
      <c r="C97" s="3" t="s">
        <v>50</v>
      </c>
      <c r="D97" s="390">
        <f>D90*2+D89</f>
        <v>322.24</v>
      </c>
      <c r="E97" s="8"/>
      <c r="F97" s="8">
        <f t="shared" si="2"/>
        <v>0</v>
      </c>
    </row>
    <row r="98" spans="1:6" ht="30" x14ac:dyDescent="0.25">
      <c r="A98" s="4" t="s">
        <v>82</v>
      </c>
      <c r="B98" s="2" t="s">
        <v>83</v>
      </c>
      <c r="C98" s="3" t="s">
        <v>50</v>
      </c>
      <c r="D98" s="390">
        <f>D89</f>
        <v>119.00000000000001</v>
      </c>
      <c r="E98" s="8"/>
      <c r="F98" s="8">
        <f t="shared" si="2"/>
        <v>0</v>
      </c>
    </row>
    <row r="99" spans="1:6" s="138" customFormat="1" ht="30" x14ac:dyDescent="0.25">
      <c r="A99" s="4" t="s">
        <v>84</v>
      </c>
      <c r="B99" s="2" t="s">
        <v>85</v>
      </c>
      <c r="C99" s="3" t="s">
        <v>26</v>
      </c>
      <c r="D99" s="390">
        <v>1</v>
      </c>
      <c r="E99" s="8"/>
      <c r="F99" s="8">
        <f t="shared" si="2"/>
        <v>0</v>
      </c>
    </row>
    <row r="100" spans="1:6" s="140" customFormat="1" ht="45" x14ac:dyDescent="0.25">
      <c r="A100" s="26" t="s">
        <v>130</v>
      </c>
      <c r="B100" s="5" t="s">
        <v>87</v>
      </c>
      <c r="C100" s="6" t="s">
        <v>88</v>
      </c>
      <c r="D100" s="390">
        <v>1</v>
      </c>
      <c r="E100" s="9"/>
      <c r="F100" s="9">
        <f t="shared" si="2"/>
        <v>0</v>
      </c>
    </row>
    <row r="101" spans="1:6" ht="15" x14ac:dyDescent="0.25">
      <c r="A101" s="4" t="s">
        <v>86</v>
      </c>
      <c r="B101" s="2" t="s">
        <v>90</v>
      </c>
      <c r="C101" s="3" t="s">
        <v>70</v>
      </c>
      <c r="D101" s="390">
        <v>77.2</v>
      </c>
      <c r="E101" s="8"/>
      <c r="F101" s="8">
        <f t="shared" si="2"/>
        <v>0</v>
      </c>
    </row>
    <row r="102" spans="1:6" ht="30" x14ac:dyDescent="0.25">
      <c r="A102" s="4" t="s">
        <v>89</v>
      </c>
      <c r="B102" s="2" t="s">
        <v>92</v>
      </c>
      <c r="C102" s="3" t="s">
        <v>43</v>
      </c>
      <c r="D102" s="390">
        <f>13.3*8*0.05</f>
        <v>5.32</v>
      </c>
      <c r="E102" s="8"/>
      <c r="F102" s="8">
        <f t="shared" si="2"/>
        <v>0</v>
      </c>
    </row>
    <row r="103" spans="1:6" ht="15" x14ac:dyDescent="0.25">
      <c r="A103" s="4" t="s">
        <v>91</v>
      </c>
      <c r="B103" s="2" t="s">
        <v>94</v>
      </c>
      <c r="C103" s="3" t="s">
        <v>50</v>
      </c>
      <c r="D103" s="390">
        <f>12.2*7.3-5.3*2</f>
        <v>78.459999999999994</v>
      </c>
      <c r="E103" s="8"/>
      <c r="F103" s="8">
        <f>D103*E103</f>
        <v>0</v>
      </c>
    </row>
    <row r="104" spans="1:6" ht="15" x14ac:dyDescent="0.25">
      <c r="A104" s="4" t="s">
        <v>93</v>
      </c>
      <c r="B104" s="2" t="s">
        <v>96</v>
      </c>
      <c r="C104" s="3" t="s">
        <v>50</v>
      </c>
      <c r="D104" s="390">
        <f>8*13.3-D103</f>
        <v>27.940000000000012</v>
      </c>
      <c r="E104" s="8"/>
      <c r="F104" s="8">
        <f t="shared" si="2"/>
        <v>0</v>
      </c>
    </row>
    <row r="105" spans="1:6" s="138" customFormat="1" ht="45" x14ac:dyDescent="0.25">
      <c r="A105" s="4" t="s">
        <v>95</v>
      </c>
      <c r="B105" s="2" t="s">
        <v>129</v>
      </c>
      <c r="C105" s="3" t="s">
        <v>88</v>
      </c>
      <c r="D105" s="390">
        <v>16</v>
      </c>
      <c r="E105" s="8"/>
      <c r="F105" s="8">
        <f t="shared" si="2"/>
        <v>0</v>
      </c>
    </row>
    <row r="106" spans="1:6" s="140" customFormat="1" ht="36" customHeight="1" x14ac:dyDescent="0.25">
      <c r="A106" s="4" t="s">
        <v>135</v>
      </c>
      <c r="B106" s="5" t="s">
        <v>131</v>
      </c>
      <c r="C106" s="6" t="s">
        <v>88</v>
      </c>
      <c r="D106" s="390">
        <v>12</v>
      </c>
      <c r="E106" s="9"/>
      <c r="F106" s="9">
        <f t="shared" si="2"/>
        <v>0</v>
      </c>
    </row>
    <row r="107" spans="1:6" s="140" customFormat="1" ht="21" customHeight="1" x14ac:dyDescent="0.25">
      <c r="A107" s="4" t="s">
        <v>97</v>
      </c>
      <c r="B107" s="5" t="s">
        <v>132</v>
      </c>
      <c r="C107" s="6" t="s">
        <v>88</v>
      </c>
      <c r="D107" s="390">
        <v>6</v>
      </c>
      <c r="E107" s="9"/>
      <c r="F107" s="9">
        <f t="shared" si="2"/>
        <v>0</v>
      </c>
    </row>
    <row r="108" spans="1:6" s="140" customFormat="1" ht="45" x14ac:dyDescent="0.25">
      <c r="A108" s="26" t="s">
        <v>99</v>
      </c>
      <c r="B108" s="5" t="s">
        <v>98</v>
      </c>
      <c r="C108" s="6" t="s">
        <v>88</v>
      </c>
      <c r="D108" s="390">
        <v>1</v>
      </c>
      <c r="E108" s="9"/>
      <c r="F108" s="9">
        <f t="shared" si="2"/>
        <v>0</v>
      </c>
    </row>
    <row r="109" spans="1:6" s="140" customFormat="1" ht="30" x14ac:dyDescent="0.25">
      <c r="A109" s="26" t="s">
        <v>101</v>
      </c>
      <c r="B109" s="5" t="s">
        <v>100</v>
      </c>
      <c r="C109" s="6" t="s">
        <v>88</v>
      </c>
      <c r="D109" s="390">
        <v>1</v>
      </c>
      <c r="E109" s="9"/>
      <c r="F109" s="9">
        <f t="shared" si="2"/>
        <v>0</v>
      </c>
    </row>
    <row r="110" spans="1:6" s="140" customFormat="1" ht="15" x14ac:dyDescent="0.25">
      <c r="A110" s="26" t="s">
        <v>103</v>
      </c>
      <c r="B110" s="5" t="s">
        <v>102</v>
      </c>
      <c r="C110" s="6" t="s">
        <v>88</v>
      </c>
      <c r="D110" s="390">
        <v>1</v>
      </c>
      <c r="E110" s="9"/>
      <c r="F110" s="9">
        <f t="shared" si="2"/>
        <v>0</v>
      </c>
    </row>
    <row r="111" spans="1:6" ht="30" x14ac:dyDescent="0.25">
      <c r="A111" s="4" t="s">
        <v>105</v>
      </c>
      <c r="B111" s="2" t="s">
        <v>104</v>
      </c>
      <c r="C111" s="3" t="s">
        <v>50</v>
      </c>
      <c r="D111" s="390">
        <f>1.1*4*0.6*2</f>
        <v>5.28</v>
      </c>
      <c r="E111" s="8"/>
      <c r="F111" s="8">
        <f t="shared" si="2"/>
        <v>0</v>
      </c>
    </row>
    <row r="112" spans="1:6" s="142" customFormat="1" ht="15" x14ac:dyDescent="0.25">
      <c r="A112" s="4" t="s">
        <v>107</v>
      </c>
      <c r="B112" s="5" t="s">
        <v>106</v>
      </c>
      <c r="C112" s="6" t="s">
        <v>26</v>
      </c>
      <c r="D112" s="390">
        <v>1</v>
      </c>
      <c r="E112" s="9"/>
      <c r="F112" s="8">
        <f t="shared" si="2"/>
        <v>0</v>
      </c>
    </row>
    <row r="113" spans="1:6" ht="30" x14ac:dyDescent="0.25">
      <c r="A113" s="4" t="s">
        <v>161</v>
      </c>
      <c r="B113" s="2" t="s">
        <v>108</v>
      </c>
      <c r="C113" s="3" t="s">
        <v>50</v>
      </c>
      <c r="D113" s="390">
        <f>D97</f>
        <v>322.24</v>
      </c>
      <c r="E113" s="8"/>
      <c r="F113" s="8">
        <f t="shared" si="2"/>
        <v>0</v>
      </c>
    </row>
    <row r="114" spans="1:6" s="138" customFormat="1" ht="60" x14ac:dyDescent="0.25">
      <c r="A114" s="4" t="s">
        <v>109</v>
      </c>
      <c r="B114" s="5" t="s">
        <v>133</v>
      </c>
      <c r="C114" s="3" t="s">
        <v>55</v>
      </c>
      <c r="D114" s="390">
        <v>14</v>
      </c>
      <c r="E114" s="8"/>
      <c r="F114" s="8">
        <f t="shared" si="2"/>
        <v>0</v>
      </c>
    </row>
    <row r="115" spans="1:6" s="139" customFormat="1" ht="60" x14ac:dyDescent="0.25">
      <c r="A115" s="26" t="s">
        <v>187</v>
      </c>
      <c r="B115" s="5" t="s">
        <v>110</v>
      </c>
      <c r="C115" s="6" t="s">
        <v>88</v>
      </c>
      <c r="D115" s="390">
        <v>1</v>
      </c>
      <c r="E115" s="9"/>
      <c r="F115" s="9">
        <f t="shared" si="2"/>
        <v>0</v>
      </c>
    </row>
    <row r="116" spans="1:6" s="138" customFormat="1" ht="30" x14ac:dyDescent="0.25">
      <c r="A116" s="4" t="s">
        <v>162</v>
      </c>
      <c r="B116" s="2" t="s">
        <v>134</v>
      </c>
      <c r="C116" s="3" t="s">
        <v>43</v>
      </c>
      <c r="D116" s="390">
        <f>1.1*4*0.6*0.1*2</f>
        <v>0.52800000000000002</v>
      </c>
      <c r="E116" s="8"/>
      <c r="F116" s="8">
        <f t="shared" si="2"/>
        <v>0</v>
      </c>
    </row>
    <row r="117" spans="1:6" ht="30" x14ac:dyDescent="0.25">
      <c r="A117" s="4" t="s">
        <v>163</v>
      </c>
      <c r="B117" s="2" t="s">
        <v>136</v>
      </c>
      <c r="C117" s="3" t="s">
        <v>70</v>
      </c>
      <c r="D117" s="390">
        <v>30</v>
      </c>
      <c r="E117" s="8"/>
      <c r="F117" s="8">
        <f t="shared" si="2"/>
        <v>0</v>
      </c>
    </row>
    <row r="118" spans="1:6" ht="75" x14ac:dyDescent="0.25">
      <c r="A118" s="4" t="s">
        <v>164</v>
      </c>
      <c r="B118" s="2" t="s">
        <v>137</v>
      </c>
      <c r="C118" s="3" t="s">
        <v>70</v>
      </c>
      <c r="D118" s="390">
        <v>20</v>
      </c>
      <c r="E118" s="8"/>
      <c r="F118" s="8">
        <f t="shared" si="2"/>
        <v>0</v>
      </c>
    </row>
    <row r="119" spans="1:6" s="140" customFormat="1" ht="30" x14ac:dyDescent="0.25">
      <c r="A119" s="4" t="s">
        <v>111</v>
      </c>
      <c r="B119" s="5" t="s">
        <v>138</v>
      </c>
      <c r="C119" s="6" t="s">
        <v>55</v>
      </c>
      <c r="D119" s="390">
        <v>4</v>
      </c>
      <c r="E119" s="9"/>
      <c r="F119" s="9">
        <f t="shared" si="2"/>
        <v>0</v>
      </c>
    </row>
    <row r="120" spans="1:6" ht="30" x14ac:dyDescent="0.25">
      <c r="A120" s="4" t="s">
        <v>165</v>
      </c>
      <c r="B120" s="2" t="s">
        <v>112</v>
      </c>
      <c r="C120" s="3" t="s">
        <v>43</v>
      </c>
      <c r="D120" s="390">
        <f>4*2.9*0.1</f>
        <v>1.1599999999999999</v>
      </c>
      <c r="E120" s="8"/>
      <c r="F120" s="8">
        <f t="shared" si="2"/>
        <v>0</v>
      </c>
    </row>
    <row r="121" spans="1:6" s="142" customFormat="1" ht="15" x14ac:dyDescent="0.25">
      <c r="A121" s="26" t="s">
        <v>166</v>
      </c>
      <c r="B121" s="37" t="s">
        <v>139</v>
      </c>
      <c r="C121" s="38" t="s">
        <v>43</v>
      </c>
      <c r="D121" s="403">
        <v>10</v>
      </c>
      <c r="E121" s="39"/>
      <c r="F121" s="39">
        <f t="shared" si="2"/>
        <v>0</v>
      </c>
    </row>
    <row r="122" spans="1:6" ht="15" x14ac:dyDescent="0.25">
      <c r="A122" s="19"/>
      <c r="B122" s="15" t="s">
        <v>113</v>
      </c>
      <c r="C122" s="16"/>
      <c r="D122" s="400"/>
      <c r="E122" s="17"/>
      <c r="F122" s="17">
        <f>SUM(F71:F121)</f>
        <v>0</v>
      </c>
    </row>
    <row r="123" spans="1:6" s="138" customFormat="1" ht="18.75" x14ac:dyDescent="0.25">
      <c r="A123" s="22"/>
      <c r="B123" s="10" t="s">
        <v>193</v>
      </c>
      <c r="C123" s="23"/>
      <c r="D123" s="404"/>
      <c r="E123" s="124"/>
      <c r="F123" s="125"/>
    </row>
    <row r="124" spans="1:6" s="138" customFormat="1" ht="15" x14ac:dyDescent="0.25">
      <c r="A124" s="147">
        <v>60</v>
      </c>
      <c r="B124" s="148" t="s">
        <v>141</v>
      </c>
      <c r="C124" s="364" t="s">
        <v>50</v>
      </c>
      <c r="D124" s="397">
        <v>4.1500000000000004</v>
      </c>
      <c r="E124" s="365"/>
      <c r="F124" s="8">
        <f t="shared" ref="F124:F138" si="3">D124*E124</f>
        <v>0</v>
      </c>
    </row>
    <row r="125" spans="1:6" s="138" customFormat="1" ht="30" x14ac:dyDescent="0.25">
      <c r="A125" s="147">
        <v>61</v>
      </c>
      <c r="B125" s="150" t="s">
        <v>142</v>
      </c>
      <c r="C125" s="366" t="s">
        <v>43</v>
      </c>
      <c r="D125" s="398">
        <v>3.01</v>
      </c>
      <c r="E125" s="367"/>
      <c r="F125" s="8">
        <f t="shared" si="3"/>
        <v>0</v>
      </c>
    </row>
    <row r="126" spans="1:6" ht="30" x14ac:dyDescent="0.25">
      <c r="A126" s="147">
        <v>62</v>
      </c>
      <c r="B126" s="150" t="s">
        <v>143</v>
      </c>
      <c r="C126" s="366" t="s">
        <v>50</v>
      </c>
      <c r="D126" s="398">
        <v>2.54</v>
      </c>
      <c r="E126" s="367"/>
      <c r="F126" s="8">
        <f t="shared" si="3"/>
        <v>0</v>
      </c>
    </row>
    <row r="127" spans="1:6" ht="30" x14ac:dyDescent="0.25">
      <c r="A127" s="147">
        <v>63</v>
      </c>
      <c r="B127" s="150" t="s">
        <v>144</v>
      </c>
      <c r="C127" s="366" t="s">
        <v>145</v>
      </c>
      <c r="D127" s="398">
        <v>1</v>
      </c>
      <c r="E127" s="367"/>
      <c r="F127" s="8">
        <f t="shared" si="3"/>
        <v>0</v>
      </c>
    </row>
    <row r="128" spans="1:6" ht="45" x14ac:dyDescent="0.25">
      <c r="A128" s="147">
        <v>64</v>
      </c>
      <c r="B128" s="150" t="s">
        <v>146</v>
      </c>
      <c r="C128" s="366" t="s">
        <v>43</v>
      </c>
      <c r="D128" s="398">
        <v>0.2</v>
      </c>
      <c r="E128" s="367"/>
      <c r="F128" s="8">
        <f t="shared" si="3"/>
        <v>0</v>
      </c>
    </row>
    <row r="129" spans="1:6" ht="30" x14ac:dyDescent="0.25">
      <c r="A129" s="147">
        <v>65</v>
      </c>
      <c r="B129" s="150" t="s">
        <v>147</v>
      </c>
      <c r="C129" s="366" t="s">
        <v>50</v>
      </c>
      <c r="D129" s="398">
        <v>2</v>
      </c>
      <c r="E129" s="367"/>
      <c r="F129" s="8">
        <f t="shared" si="3"/>
        <v>0</v>
      </c>
    </row>
    <row r="130" spans="1:6" s="138" customFormat="1" ht="30" x14ac:dyDescent="0.25">
      <c r="A130" s="147">
        <v>66</v>
      </c>
      <c r="B130" s="150" t="s">
        <v>148</v>
      </c>
      <c r="C130" s="366" t="s">
        <v>50</v>
      </c>
      <c r="D130" s="398">
        <v>5.0199999999999996</v>
      </c>
      <c r="E130" s="367"/>
      <c r="F130" s="8">
        <f t="shared" si="3"/>
        <v>0</v>
      </c>
    </row>
    <row r="131" spans="1:6" s="138" customFormat="1" ht="30" x14ac:dyDescent="0.25">
      <c r="A131" s="147">
        <v>67</v>
      </c>
      <c r="B131" s="150" t="s">
        <v>149</v>
      </c>
      <c r="C131" s="366" t="s">
        <v>70</v>
      </c>
      <c r="D131" s="398">
        <v>6</v>
      </c>
      <c r="E131" s="367"/>
      <c r="F131" s="8">
        <f t="shared" si="3"/>
        <v>0</v>
      </c>
    </row>
    <row r="132" spans="1:6" s="138" customFormat="1" ht="30" x14ac:dyDescent="0.25">
      <c r="A132" s="147">
        <v>68</v>
      </c>
      <c r="B132" s="150" t="s">
        <v>150</v>
      </c>
      <c r="C132" s="366" t="s">
        <v>88</v>
      </c>
      <c r="D132" s="398">
        <v>1</v>
      </c>
      <c r="E132" s="367"/>
      <c r="F132" s="8">
        <f t="shared" si="3"/>
        <v>0</v>
      </c>
    </row>
    <row r="133" spans="1:6" s="138" customFormat="1" ht="30" x14ac:dyDescent="0.25">
      <c r="A133" s="147">
        <v>69</v>
      </c>
      <c r="B133" s="150" t="s">
        <v>151</v>
      </c>
      <c r="C133" s="366" t="s">
        <v>88</v>
      </c>
      <c r="D133" s="398">
        <v>1</v>
      </c>
      <c r="E133" s="367"/>
      <c r="F133" s="8">
        <f t="shared" si="3"/>
        <v>0</v>
      </c>
    </row>
    <row r="134" spans="1:6" s="138" customFormat="1" ht="15" x14ac:dyDescent="0.25">
      <c r="A134" s="147">
        <v>70</v>
      </c>
      <c r="B134" s="150" t="s">
        <v>152</v>
      </c>
      <c r="C134" s="366" t="s">
        <v>43</v>
      </c>
      <c r="D134" s="398">
        <v>3.93</v>
      </c>
      <c r="E134" s="367"/>
      <c r="F134" s="8">
        <f t="shared" si="3"/>
        <v>0</v>
      </c>
    </row>
    <row r="135" spans="1:6" ht="15" x14ac:dyDescent="0.25">
      <c r="A135" s="147">
        <v>71</v>
      </c>
      <c r="B135" s="150" t="s">
        <v>153</v>
      </c>
      <c r="C135" s="366" t="s">
        <v>43</v>
      </c>
      <c r="D135" s="398">
        <v>3.93</v>
      </c>
      <c r="E135" s="367"/>
      <c r="F135" s="8">
        <f t="shared" si="3"/>
        <v>0</v>
      </c>
    </row>
    <row r="136" spans="1:6" s="138" customFormat="1" ht="45" x14ac:dyDescent="0.25">
      <c r="A136" s="147">
        <v>72</v>
      </c>
      <c r="B136" s="150" t="s">
        <v>154</v>
      </c>
      <c r="C136" s="366" t="s">
        <v>43</v>
      </c>
      <c r="D136" s="398">
        <v>1.22</v>
      </c>
      <c r="E136" s="367"/>
      <c r="F136" s="8">
        <f t="shared" si="3"/>
        <v>0</v>
      </c>
    </row>
    <row r="137" spans="1:6" s="138" customFormat="1" ht="30" x14ac:dyDescent="0.25">
      <c r="A137" s="147">
        <v>73</v>
      </c>
      <c r="B137" s="150" t="s">
        <v>143</v>
      </c>
      <c r="C137" s="366" t="s">
        <v>50</v>
      </c>
      <c r="D137" s="398">
        <v>1.22</v>
      </c>
      <c r="E137" s="367"/>
      <c r="F137" s="8">
        <f t="shared" si="3"/>
        <v>0</v>
      </c>
    </row>
    <row r="138" spans="1:6" ht="60" x14ac:dyDescent="0.25">
      <c r="A138" s="147">
        <v>74</v>
      </c>
      <c r="B138" s="153" t="s">
        <v>155</v>
      </c>
      <c r="C138" s="368" t="s">
        <v>50</v>
      </c>
      <c r="D138" s="399">
        <v>130</v>
      </c>
      <c r="E138" s="369"/>
      <c r="F138" s="8">
        <f t="shared" si="3"/>
        <v>0</v>
      </c>
    </row>
    <row r="139" spans="1:6" ht="15.75" x14ac:dyDescent="0.25">
      <c r="A139" s="264"/>
      <c r="B139" s="383" t="s">
        <v>199</v>
      </c>
      <c r="C139" s="383"/>
      <c r="D139" s="405"/>
      <c r="E139" s="383"/>
      <c r="F139" s="377">
        <f>SUM(F124:F138)</f>
        <v>0</v>
      </c>
    </row>
    <row r="140" spans="1:6" ht="58.5" x14ac:dyDescent="0.25">
      <c r="A140" s="265"/>
      <c r="B140" s="265" t="s">
        <v>201</v>
      </c>
      <c r="C140" s="370"/>
      <c r="D140" s="401"/>
      <c r="E140" s="371"/>
      <c r="F140" s="111">
        <f>SUM(F139+F122)</f>
        <v>0</v>
      </c>
    </row>
    <row r="141" spans="1:6" s="138" customFormat="1" ht="14.45" customHeight="1" x14ac:dyDescent="0.25">
      <c r="A141" s="372" t="s">
        <v>168</v>
      </c>
      <c r="B141" s="373"/>
      <c r="C141" s="381"/>
      <c r="D141" s="406"/>
      <c r="E141" s="382"/>
      <c r="F141" s="382"/>
    </row>
    <row r="142" spans="1:6" ht="15" x14ac:dyDescent="0.25">
      <c r="A142" s="4" t="s">
        <v>24</v>
      </c>
      <c r="B142" s="28" t="s">
        <v>25</v>
      </c>
      <c r="C142" s="379" t="s">
        <v>26</v>
      </c>
      <c r="D142" s="391">
        <v>1</v>
      </c>
      <c r="E142" s="380"/>
      <c r="F142" s="43">
        <f t="shared" ref="F142:F185" si="4">D142*E142</f>
        <v>0</v>
      </c>
    </row>
    <row r="143" spans="1:6" s="138" customFormat="1" ht="18" x14ac:dyDescent="0.25">
      <c r="A143" s="4" t="s">
        <v>27</v>
      </c>
      <c r="B143" s="28" t="s">
        <v>28</v>
      </c>
      <c r="C143" s="31" t="s">
        <v>159</v>
      </c>
      <c r="D143" s="390">
        <f>14.4*9</f>
        <v>129.6</v>
      </c>
      <c r="E143" s="29"/>
      <c r="F143" s="8">
        <f t="shared" si="4"/>
        <v>0</v>
      </c>
    </row>
    <row r="144" spans="1:6" s="138" customFormat="1" ht="18" x14ac:dyDescent="0.25">
      <c r="A144" s="4" t="s">
        <v>30</v>
      </c>
      <c r="B144" s="28" t="s">
        <v>31</v>
      </c>
      <c r="C144" s="31" t="s">
        <v>160</v>
      </c>
      <c r="D144" s="390">
        <f>D143*0.5</f>
        <v>64.8</v>
      </c>
      <c r="E144" s="29"/>
      <c r="F144" s="8">
        <f t="shared" si="4"/>
        <v>0</v>
      </c>
    </row>
    <row r="145" spans="1:6" s="138" customFormat="1" ht="45" x14ac:dyDescent="0.25">
      <c r="A145" s="4" t="s">
        <v>33</v>
      </c>
      <c r="B145" s="28" t="s">
        <v>34</v>
      </c>
      <c r="C145" s="31" t="s">
        <v>160</v>
      </c>
      <c r="D145" s="390">
        <f>17.5*5.9*3</f>
        <v>309.75</v>
      </c>
      <c r="E145" s="29"/>
      <c r="F145" s="8">
        <f t="shared" si="4"/>
        <v>0</v>
      </c>
    </row>
    <row r="146" spans="1:6" ht="18" x14ac:dyDescent="0.25">
      <c r="A146" s="4" t="s">
        <v>35</v>
      </c>
      <c r="B146" s="2" t="s">
        <v>36</v>
      </c>
      <c r="C146" s="31" t="s">
        <v>160</v>
      </c>
      <c r="D146" s="391">
        <f>(14.5+2.9)*2*1.5*3</f>
        <v>156.6</v>
      </c>
      <c r="E146" s="8"/>
      <c r="F146" s="8">
        <f t="shared" si="4"/>
        <v>0</v>
      </c>
    </row>
    <row r="147" spans="1:6" s="138" customFormat="1" ht="18" x14ac:dyDescent="0.25">
      <c r="A147" s="4" t="s">
        <v>37</v>
      </c>
      <c r="B147" s="2" t="s">
        <v>38</v>
      </c>
      <c r="C147" s="31" t="s">
        <v>160</v>
      </c>
      <c r="D147" s="390">
        <f>D144+D145-D146</f>
        <v>217.95000000000002</v>
      </c>
      <c r="E147" s="8"/>
      <c r="F147" s="8">
        <f t="shared" si="4"/>
        <v>0</v>
      </c>
    </row>
    <row r="148" spans="1:6" s="138" customFormat="1" ht="45" x14ac:dyDescent="0.25">
      <c r="A148" s="4" t="s">
        <v>39</v>
      </c>
      <c r="B148" s="2" t="s">
        <v>40</v>
      </c>
      <c r="C148" s="31" t="s">
        <v>160</v>
      </c>
      <c r="D148" s="390">
        <f>(14.1+2.5)*0.4*0.05</f>
        <v>0.33200000000000007</v>
      </c>
      <c r="E148" s="8"/>
      <c r="F148" s="8">
        <f t="shared" si="4"/>
        <v>0</v>
      </c>
    </row>
    <row r="149" spans="1:6" s="138" customFormat="1" ht="45" x14ac:dyDescent="0.25">
      <c r="A149" s="4" t="s">
        <v>41</v>
      </c>
      <c r="B149" s="2" t="s">
        <v>42</v>
      </c>
      <c r="C149" s="3" t="s">
        <v>43</v>
      </c>
      <c r="D149" s="390">
        <f>(14.1+2.5)*0.4*3.6</f>
        <v>23.904000000000003</v>
      </c>
      <c r="E149" s="8"/>
      <c r="F149" s="8">
        <f t="shared" si="4"/>
        <v>0</v>
      </c>
    </row>
    <row r="150" spans="1:6" s="138" customFormat="1" ht="15" x14ac:dyDescent="0.25">
      <c r="A150" s="4" t="s">
        <v>44</v>
      </c>
      <c r="B150" s="2" t="s">
        <v>45</v>
      </c>
      <c r="C150" s="3" t="s">
        <v>43</v>
      </c>
      <c r="D150" s="390">
        <f>(14.1+2.5)*0.4*0.05</f>
        <v>0.33200000000000007</v>
      </c>
      <c r="E150" s="8"/>
      <c r="F150" s="8">
        <f t="shared" si="4"/>
        <v>0</v>
      </c>
    </row>
    <row r="151" spans="1:6" ht="15" x14ac:dyDescent="0.25">
      <c r="A151" s="4" t="s">
        <v>46</v>
      </c>
      <c r="B151" s="2" t="s">
        <v>47</v>
      </c>
      <c r="C151" s="3" t="s">
        <v>43</v>
      </c>
      <c r="D151" s="390">
        <f>(14.1+2.5)*0.25*0.2*3</f>
        <v>2.4900000000000002</v>
      </c>
      <c r="E151" s="8"/>
      <c r="F151" s="8">
        <f t="shared" si="4"/>
        <v>0</v>
      </c>
    </row>
    <row r="152" spans="1:6" s="138" customFormat="1" ht="30" x14ac:dyDescent="0.25">
      <c r="A152" s="4" t="s">
        <v>48</v>
      </c>
      <c r="B152" s="2" t="s">
        <v>49</v>
      </c>
      <c r="C152" s="3" t="s">
        <v>50</v>
      </c>
      <c r="D152" s="390">
        <f>(13.7+2.1)*2*3</f>
        <v>94.8</v>
      </c>
      <c r="E152" s="8"/>
      <c r="F152" s="8">
        <f t="shared" si="4"/>
        <v>0</v>
      </c>
    </row>
    <row r="153" spans="1:6" ht="30" x14ac:dyDescent="0.25">
      <c r="A153" s="4" t="s">
        <v>51</v>
      </c>
      <c r="B153" s="2" t="s">
        <v>52</v>
      </c>
      <c r="C153" s="3" t="s">
        <v>43</v>
      </c>
      <c r="D153" s="390">
        <f>13.7*2.1*0.3</f>
        <v>8.6310000000000002</v>
      </c>
      <c r="E153" s="8"/>
      <c r="F153" s="8">
        <f t="shared" si="4"/>
        <v>0</v>
      </c>
    </row>
    <row r="154" spans="1:6" s="138" customFormat="1" ht="45" x14ac:dyDescent="0.25">
      <c r="A154" s="4" t="s">
        <v>53</v>
      </c>
      <c r="B154" s="2" t="s">
        <v>54</v>
      </c>
      <c r="C154" s="3" t="s">
        <v>55</v>
      </c>
      <c r="D154" s="390">
        <v>1</v>
      </c>
      <c r="E154" s="8"/>
      <c r="F154" s="8">
        <f t="shared" si="4"/>
        <v>0</v>
      </c>
    </row>
    <row r="155" spans="1:6" s="138" customFormat="1" ht="30" x14ac:dyDescent="0.25">
      <c r="A155" s="4" t="s">
        <v>56</v>
      </c>
      <c r="B155" s="2" t="s">
        <v>57</v>
      </c>
      <c r="C155" s="3" t="s">
        <v>43</v>
      </c>
      <c r="D155" s="390">
        <f>13.4*8*0.15</f>
        <v>16.079999999999998</v>
      </c>
      <c r="E155" s="8"/>
      <c r="F155" s="8">
        <f t="shared" si="4"/>
        <v>0</v>
      </c>
    </row>
    <row r="156" spans="1:6" s="138" customFormat="1" ht="30" x14ac:dyDescent="0.25">
      <c r="A156" s="4" t="s">
        <v>58</v>
      </c>
      <c r="B156" s="2" t="s">
        <v>59</v>
      </c>
      <c r="C156" s="3" t="s">
        <v>50</v>
      </c>
      <c r="D156" s="390">
        <f>0.7*1.5*0.15*2</f>
        <v>0.31499999999999995</v>
      </c>
      <c r="E156" s="8"/>
      <c r="F156" s="8">
        <f t="shared" si="4"/>
        <v>0</v>
      </c>
    </row>
    <row r="157" spans="1:6" ht="15" x14ac:dyDescent="0.25">
      <c r="A157" s="4" t="s">
        <v>60</v>
      </c>
      <c r="B157" s="2" t="s">
        <v>61</v>
      </c>
      <c r="C157" s="3" t="s">
        <v>62</v>
      </c>
      <c r="D157" s="390">
        <v>74.400000000000006</v>
      </c>
      <c r="E157" s="8"/>
      <c r="F157" s="8">
        <f t="shared" si="4"/>
        <v>0</v>
      </c>
    </row>
    <row r="158" spans="1:6" s="138" customFormat="1" ht="30" x14ac:dyDescent="0.25">
      <c r="A158" s="4" t="s">
        <v>124</v>
      </c>
      <c r="B158" s="2" t="s">
        <v>119</v>
      </c>
      <c r="C158" s="3" t="s">
        <v>43</v>
      </c>
      <c r="D158" s="390">
        <f>0.2*0.2*3.4*8</f>
        <v>1.0880000000000001</v>
      </c>
      <c r="E158" s="8"/>
      <c r="F158" s="8">
        <f t="shared" si="4"/>
        <v>0</v>
      </c>
    </row>
    <row r="159" spans="1:6" s="138" customFormat="1" ht="30" x14ac:dyDescent="0.25">
      <c r="A159" s="4" t="s">
        <v>125</v>
      </c>
      <c r="B159" s="2" t="s">
        <v>121</v>
      </c>
      <c r="C159" s="3" t="s">
        <v>43</v>
      </c>
      <c r="D159" s="392">
        <f>(7.3*2+12.6*3)*0.2*0.2</f>
        <v>2.0960000000000001</v>
      </c>
      <c r="E159" s="8"/>
      <c r="F159" s="8">
        <f t="shared" si="4"/>
        <v>0</v>
      </c>
    </row>
    <row r="160" spans="1:6" s="138" customFormat="1" ht="30" x14ac:dyDescent="0.25">
      <c r="A160" s="4" t="s">
        <v>63</v>
      </c>
      <c r="B160" s="2" t="s">
        <v>64</v>
      </c>
      <c r="C160" s="3" t="s">
        <v>50</v>
      </c>
      <c r="D160" s="392">
        <f>(7.3*2+12.6*2)*3.4-1.2*3.4*2</f>
        <v>127.16</v>
      </c>
      <c r="E160" s="8"/>
      <c r="F160" s="8">
        <f t="shared" si="4"/>
        <v>0</v>
      </c>
    </row>
    <row r="161" spans="1:6" s="138" customFormat="1" ht="30" x14ac:dyDescent="0.25">
      <c r="A161" s="4" t="s">
        <v>127</v>
      </c>
      <c r="B161" s="2" t="s">
        <v>123</v>
      </c>
      <c r="C161" s="3" t="s">
        <v>50</v>
      </c>
      <c r="D161" s="390">
        <f>12.6*3.4+(12.6*2+1.1*18+8)*2.1-0.8*2.1*20</f>
        <v>120.54000000000002</v>
      </c>
      <c r="E161" s="8"/>
      <c r="F161" s="8">
        <f t="shared" si="4"/>
        <v>0</v>
      </c>
    </row>
    <row r="162" spans="1:6" ht="15" x14ac:dyDescent="0.25">
      <c r="A162" s="4" t="s">
        <v>65</v>
      </c>
      <c r="B162" s="2" t="s">
        <v>66</v>
      </c>
      <c r="C162" s="3" t="s">
        <v>67</v>
      </c>
      <c r="D162" s="390">
        <v>10</v>
      </c>
      <c r="E162" s="8"/>
      <c r="F162" s="8">
        <f t="shared" si="4"/>
        <v>0</v>
      </c>
    </row>
    <row r="163" spans="1:6" s="138" customFormat="1" ht="15" x14ac:dyDescent="0.25">
      <c r="A163" s="4" t="s">
        <v>68</v>
      </c>
      <c r="B163" s="2" t="s">
        <v>69</v>
      </c>
      <c r="C163" s="3" t="s">
        <v>70</v>
      </c>
      <c r="D163" s="392">
        <f>95.87*1.5</f>
        <v>143.80500000000001</v>
      </c>
      <c r="E163" s="8"/>
      <c r="F163" s="8">
        <f t="shared" si="4"/>
        <v>0</v>
      </c>
    </row>
    <row r="164" spans="1:6" s="138" customFormat="1" ht="30" x14ac:dyDescent="0.25">
      <c r="A164" s="4" t="s">
        <v>71</v>
      </c>
      <c r="B164" s="2" t="s">
        <v>126</v>
      </c>
      <c r="C164" s="3" t="s">
        <v>50</v>
      </c>
      <c r="D164" s="390">
        <f>13.4*8*1.15</f>
        <v>123.27999999999999</v>
      </c>
      <c r="E164" s="8"/>
      <c r="F164" s="8">
        <f t="shared" si="4"/>
        <v>0</v>
      </c>
    </row>
    <row r="165" spans="1:6" s="138" customFormat="1" ht="15" x14ac:dyDescent="0.25">
      <c r="A165" s="4" t="s">
        <v>73</v>
      </c>
      <c r="B165" s="2" t="s">
        <v>74</v>
      </c>
      <c r="C165" s="3" t="s">
        <v>70</v>
      </c>
      <c r="D165" s="390">
        <v>13.4</v>
      </c>
      <c r="E165" s="8"/>
      <c r="F165" s="8">
        <f t="shared" si="4"/>
        <v>0</v>
      </c>
    </row>
    <row r="166" spans="1:6" ht="15" x14ac:dyDescent="0.25">
      <c r="A166" s="4" t="s">
        <v>75</v>
      </c>
      <c r="B166" s="2" t="s">
        <v>76</v>
      </c>
      <c r="C166" s="3" t="s">
        <v>70</v>
      </c>
      <c r="D166" s="390">
        <f>13.4+16</f>
        <v>29.4</v>
      </c>
      <c r="E166" s="8"/>
      <c r="F166" s="8">
        <f t="shared" si="4"/>
        <v>0</v>
      </c>
    </row>
    <row r="167" spans="1:6" s="138" customFormat="1" ht="45" x14ac:dyDescent="0.25">
      <c r="A167" s="4" t="s">
        <v>77</v>
      </c>
      <c r="B167" s="2" t="s">
        <v>78</v>
      </c>
      <c r="C167" s="3" t="s">
        <v>79</v>
      </c>
      <c r="D167" s="393">
        <v>1</v>
      </c>
      <c r="E167" s="8"/>
      <c r="F167" s="8">
        <f t="shared" si="4"/>
        <v>0</v>
      </c>
    </row>
    <row r="168" spans="1:6" s="138" customFormat="1" ht="45" x14ac:dyDescent="0.25">
      <c r="A168" s="4" t="s">
        <v>80</v>
      </c>
      <c r="B168" s="2" t="s">
        <v>81</v>
      </c>
      <c r="C168" s="3" t="s">
        <v>50</v>
      </c>
      <c r="D168" s="390">
        <f>D161*2+D160</f>
        <v>368.24</v>
      </c>
      <c r="E168" s="8"/>
      <c r="F168" s="8">
        <f t="shared" si="4"/>
        <v>0</v>
      </c>
    </row>
    <row r="169" spans="1:6" ht="30" x14ac:dyDescent="0.25">
      <c r="A169" s="4" t="s">
        <v>82</v>
      </c>
      <c r="B169" s="2" t="s">
        <v>83</v>
      </c>
      <c r="C169" s="3" t="s">
        <v>50</v>
      </c>
      <c r="D169" s="390">
        <f>D160</f>
        <v>127.16</v>
      </c>
      <c r="E169" s="8"/>
      <c r="F169" s="8">
        <f t="shared" si="4"/>
        <v>0</v>
      </c>
    </row>
    <row r="170" spans="1:6" s="138" customFormat="1" ht="30" x14ac:dyDescent="0.25">
      <c r="A170" s="4" t="s">
        <v>84</v>
      </c>
      <c r="B170" s="2" t="s">
        <v>85</v>
      </c>
      <c r="C170" s="3" t="s">
        <v>26</v>
      </c>
      <c r="D170" s="390">
        <v>1</v>
      </c>
      <c r="E170" s="8"/>
      <c r="F170" s="8">
        <f t="shared" si="4"/>
        <v>0</v>
      </c>
    </row>
    <row r="171" spans="1:6" ht="15" x14ac:dyDescent="0.25">
      <c r="A171" s="4" t="s">
        <v>86</v>
      </c>
      <c r="B171" s="2" t="s">
        <v>90</v>
      </c>
      <c r="C171" s="3" t="s">
        <v>70</v>
      </c>
      <c r="D171" s="390">
        <f>(7.3*2+12.6*2)*2</f>
        <v>79.599999999999994</v>
      </c>
      <c r="E171" s="8"/>
      <c r="F171" s="8">
        <f t="shared" si="4"/>
        <v>0</v>
      </c>
    </row>
    <row r="172" spans="1:6" ht="30" x14ac:dyDescent="0.25">
      <c r="A172" s="4" t="s">
        <v>89</v>
      </c>
      <c r="B172" s="2" t="s">
        <v>92</v>
      </c>
      <c r="C172" s="3" t="s">
        <v>43</v>
      </c>
      <c r="D172" s="390">
        <f>8*13.4*0.05</f>
        <v>5.36</v>
      </c>
      <c r="E172" s="8"/>
      <c r="F172" s="8">
        <f t="shared" si="4"/>
        <v>0</v>
      </c>
    </row>
    <row r="173" spans="1:6" ht="15" x14ac:dyDescent="0.25">
      <c r="A173" s="4" t="s">
        <v>91</v>
      </c>
      <c r="B173" s="2" t="s">
        <v>94</v>
      </c>
      <c r="C173" s="3" t="s">
        <v>50</v>
      </c>
      <c r="D173" s="390">
        <f>12.6*7.3</f>
        <v>91.97999999999999</v>
      </c>
      <c r="E173" s="8"/>
      <c r="F173" s="8">
        <f t="shared" si="4"/>
        <v>0</v>
      </c>
    </row>
    <row r="174" spans="1:6" ht="15" x14ac:dyDescent="0.25">
      <c r="A174" s="4" t="s">
        <v>93</v>
      </c>
      <c r="B174" s="2" t="s">
        <v>96</v>
      </c>
      <c r="C174" s="3" t="s">
        <v>50</v>
      </c>
      <c r="D174" s="390">
        <f>8*13.4-D173</f>
        <v>15.220000000000013</v>
      </c>
      <c r="E174" s="8"/>
      <c r="F174" s="8">
        <f t="shared" si="4"/>
        <v>0</v>
      </c>
    </row>
    <row r="175" spans="1:6" s="138" customFormat="1" ht="45" x14ac:dyDescent="0.25">
      <c r="A175" s="4" t="s">
        <v>95</v>
      </c>
      <c r="B175" s="117" t="s">
        <v>129</v>
      </c>
      <c r="C175" s="3" t="s">
        <v>88</v>
      </c>
      <c r="D175" s="390">
        <v>20</v>
      </c>
      <c r="E175" s="8"/>
      <c r="F175" s="8">
        <f t="shared" si="4"/>
        <v>0</v>
      </c>
    </row>
    <row r="176" spans="1:6" s="140" customFormat="1" ht="30" x14ac:dyDescent="0.25">
      <c r="A176" s="26" t="s">
        <v>135</v>
      </c>
      <c r="B176" s="2" t="s">
        <v>131</v>
      </c>
      <c r="C176" s="6" t="s">
        <v>88</v>
      </c>
      <c r="D176" s="390">
        <v>14</v>
      </c>
      <c r="E176" s="9"/>
      <c r="F176" s="9">
        <f t="shared" si="4"/>
        <v>0</v>
      </c>
    </row>
    <row r="177" spans="1:6" s="142" customFormat="1" ht="15" x14ac:dyDescent="0.25">
      <c r="A177" s="26" t="s">
        <v>107</v>
      </c>
      <c r="B177" s="5" t="s">
        <v>106</v>
      </c>
      <c r="C177" s="6" t="s">
        <v>26</v>
      </c>
      <c r="D177" s="390">
        <v>1</v>
      </c>
      <c r="E177" s="9"/>
      <c r="F177" s="8">
        <f t="shared" si="4"/>
        <v>0</v>
      </c>
    </row>
    <row r="178" spans="1:6" ht="30" x14ac:dyDescent="0.25">
      <c r="A178" s="4" t="s">
        <v>161</v>
      </c>
      <c r="B178" s="2" t="s">
        <v>108</v>
      </c>
      <c r="C178" s="3" t="s">
        <v>50</v>
      </c>
      <c r="D178" s="390">
        <f>D168</f>
        <v>368.24</v>
      </c>
      <c r="E178" s="8"/>
      <c r="F178" s="8">
        <f t="shared" si="4"/>
        <v>0</v>
      </c>
    </row>
    <row r="179" spans="1:6" s="138" customFormat="1" ht="60" x14ac:dyDescent="0.25">
      <c r="A179" s="26" t="s">
        <v>109</v>
      </c>
      <c r="B179" s="5" t="s">
        <v>133</v>
      </c>
      <c r="C179" s="3" t="s">
        <v>55</v>
      </c>
      <c r="D179" s="390">
        <v>20</v>
      </c>
      <c r="E179" s="8"/>
      <c r="F179" s="8">
        <f t="shared" si="4"/>
        <v>0</v>
      </c>
    </row>
    <row r="180" spans="1:6" s="138" customFormat="1" ht="30" x14ac:dyDescent="0.25">
      <c r="A180" s="26" t="s">
        <v>162</v>
      </c>
      <c r="B180" s="2" t="s">
        <v>134</v>
      </c>
      <c r="C180" s="3" t="s">
        <v>43</v>
      </c>
      <c r="D180" s="390">
        <f>1.1*4*0.6*0.1*2</f>
        <v>0.52800000000000002</v>
      </c>
      <c r="E180" s="8"/>
      <c r="F180" s="8">
        <f t="shared" si="4"/>
        <v>0</v>
      </c>
    </row>
    <row r="181" spans="1:6" ht="30" x14ac:dyDescent="0.25">
      <c r="A181" s="4" t="s">
        <v>163</v>
      </c>
      <c r="B181" s="2" t="s">
        <v>136</v>
      </c>
      <c r="C181" s="3" t="s">
        <v>70</v>
      </c>
      <c r="D181" s="390">
        <v>40</v>
      </c>
      <c r="E181" s="8"/>
      <c r="F181" s="8">
        <f t="shared" si="4"/>
        <v>0</v>
      </c>
    </row>
    <row r="182" spans="1:6" ht="75" x14ac:dyDescent="0.25">
      <c r="A182" s="26" t="s">
        <v>164</v>
      </c>
      <c r="B182" s="2" t="s">
        <v>137</v>
      </c>
      <c r="C182" s="3" t="s">
        <v>70</v>
      </c>
      <c r="D182" s="390">
        <v>30</v>
      </c>
      <c r="E182" s="8"/>
      <c r="F182" s="8">
        <f t="shared" si="4"/>
        <v>0</v>
      </c>
    </row>
    <row r="183" spans="1:6" s="140" customFormat="1" ht="30" x14ac:dyDescent="0.25">
      <c r="A183" s="4" t="s">
        <v>111</v>
      </c>
      <c r="B183" s="5" t="s">
        <v>138</v>
      </c>
      <c r="C183" s="6" t="s">
        <v>55</v>
      </c>
      <c r="D183" s="390">
        <v>6</v>
      </c>
      <c r="E183" s="9"/>
      <c r="F183" s="9">
        <f t="shared" si="4"/>
        <v>0</v>
      </c>
    </row>
    <row r="184" spans="1:6" ht="30" x14ac:dyDescent="0.25">
      <c r="A184" s="26" t="s">
        <v>165</v>
      </c>
      <c r="B184" s="2" t="s">
        <v>112</v>
      </c>
      <c r="C184" s="3" t="s">
        <v>43</v>
      </c>
      <c r="D184" s="390">
        <f>4*2.9*0.1</f>
        <v>1.1599999999999999</v>
      </c>
      <c r="E184" s="8"/>
      <c r="F184" s="8">
        <f t="shared" si="4"/>
        <v>0</v>
      </c>
    </row>
    <row r="185" spans="1:6" s="161" customFormat="1" ht="15" x14ac:dyDescent="0.25">
      <c r="A185" s="26" t="s">
        <v>166</v>
      </c>
      <c r="B185" s="37" t="s">
        <v>139</v>
      </c>
      <c r="C185" s="38" t="s">
        <v>43</v>
      </c>
      <c r="D185" s="403">
        <v>10.8</v>
      </c>
      <c r="E185" s="39"/>
      <c r="F185" s="39">
        <f t="shared" si="4"/>
        <v>0</v>
      </c>
    </row>
    <row r="186" spans="1:6" ht="15" x14ac:dyDescent="0.25">
      <c r="A186" s="19"/>
      <c r="B186" s="15" t="s">
        <v>113</v>
      </c>
      <c r="C186" s="16"/>
      <c r="D186" s="395"/>
      <c r="E186" s="17"/>
      <c r="F186" s="17">
        <f>SUM(F142:F185)</f>
        <v>0</v>
      </c>
    </row>
    <row r="187" spans="1:6" s="138" customFormat="1" ht="18.75" x14ac:dyDescent="0.25">
      <c r="A187" s="22"/>
      <c r="B187" s="10" t="s">
        <v>202</v>
      </c>
      <c r="C187" s="23"/>
      <c r="D187" s="396"/>
      <c r="E187" s="124"/>
      <c r="F187" s="125"/>
    </row>
    <row r="188" spans="1:6" s="138" customFormat="1" ht="15" x14ac:dyDescent="0.25">
      <c r="A188" s="147">
        <v>60</v>
      </c>
      <c r="B188" s="148" t="s">
        <v>141</v>
      </c>
      <c r="C188" s="364" t="s">
        <v>50</v>
      </c>
      <c r="D188" s="397">
        <v>4.1500000000000004</v>
      </c>
      <c r="E188" s="365"/>
      <c r="F188" s="8">
        <f t="shared" ref="F188:F202" si="5">D188*E188</f>
        <v>0</v>
      </c>
    </row>
    <row r="189" spans="1:6" s="138" customFormat="1" ht="30" x14ac:dyDescent="0.25">
      <c r="A189" s="147">
        <v>61</v>
      </c>
      <c r="B189" s="150" t="s">
        <v>142</v>
      </c>
      <c r="C189" s="366" t="s">
        <v>43</v>
      </c>
      <c r="D189" s="398">
        <v>3.01</v>
      </c>
      <c r="E189" s="367"/>
      <c r="F189" s="8">
        <f t="shared" si="5"/>
        <v>0</v>
      </c>
    </row>
    <row r="190" spans="1:6" ht="30" x14ac:dyDescent="0.25">
      <c r="A190" s="147">
        <v>62</v>
      </c>
      <c r="B190" s="150" t="s">
        <v>143</v>
      </c>
      <c r="C190" s="366" t="s">
        <v>50</v>
      </c>
      <c r="D190" s="398">
        <v>2.54</v>
      </c>
      <c r="E190" s="367"/>
      <c r="F190" s="8">
        <f t="shared" si="5"/>
        <v>0</v>
      </c>
    </row>
    <row r="191" spans="1:6" ht="30" x14ac:dyDescent="0.25">
      <c r="A191" s="147">
        <v>63</v>
      </c>
      <c r="B191" s="150" t="s">
        <v>144</v>
      </c>
      <c r="C191" s="366" t="s">
        <v>145</v>
      </c>
      <c r="D191" s="398">
        <v>1</v>
      </c>
      <c r="E191" s="367"/>
      <c r="F191" s="8">
        <f t="shared" si="5"/>
        <v>0</v>
      </c>
    </row>
    <row r="192" spans="1:6" ht="45" x14ac:dyDescent="0.25">
      <c r="A192" s="147">
        <v>64</v>
      </c>
      <c r="B192" s="150" t="s">
        <v>146</v>
      </c>
      <c r="C192" s="366" t="s">
        <v>43</v>
      </c>
      <c r="D192" s="398">
        <v>0.2</v>
      </c>
      <c r="E192" s="367"/>
      <c r="F192" s="8">
        <f t="shared" si="5"/>
        <v>0</v>
      </c>
    </row>
    <row r="193" spans="1:6" ht="30" x14ac:dyDescent="0.25">
      <c r="A193" s="147">
        <v>65</v>
      </c>
      <c r="B193" s="150" t="s">
        <v>147</v>
      </c>
      <c r="C193" s="366" t="s">
        <v>50</v>
      </c>
      <c r="D193" s="398">
        <v>2</v>
      </c>
      <c r="E193" s="367"/>
      <c r="F193" s="8">
        <f t="shared" si="5"/>
        <v>0</v>
      </c>
    </row>
    <row r="194" spans="1:6" s="138" customFormat="1" ht="30" x14ac:dyDescent="0.25">
      <c r="A194" s="147">
        <v>66</v>
      </c>
      <c r="B194" s="150" t="s">
        <v>148</v>
      </c>
      <c r="C194" s="366" t="s">
        <v>50</v>
      </c>
      <c r="D194" s="398">
        <v>5.0199999999999996</v>
      </c>
      <c r="E194" s="367"/>
      <c r="F194" s="8">
        <f t="shared" si="5"/>
        <v>0</v>
      </c>
    </row>
    <row r="195" spans="1:6" s="138" customFormat="1" ht="30" x14ac:dyDescent="0.25">
      <c r="A195" s="147">
        <v>67</v>
      </c>
      <c r="B195" s="150" t="s">
        <v>149</v>
      </c>
      <c r="C195" s="366" t="s">
        <v>70</v>
      </c>
      <c r="D195" s="398">
        <v>6</v>
      </c>
      <c r="E195" s="367"/>
      <c r="F195" s="8">
        <f t="shared" si="5"/>
        <v>0</v>
      </c>
    </row>
    <row r="196" spans="1:6" s="138" customFormat="1" ht="30" x14ac:dyDescent="0.25">
      <c r="A196" s="147">
        <v>68</v>
      </c>
      <c r="B196" s="150" t="s">
        <v>150</v>
      </c>
      <c r="C196" s="366" t="s">
        <v>88</v>
      </c>
      <c r="D196" s="398">
        <v>1</v>
      </c>
      <c r="E196" s="367"/>
      <c r="F196" s="8">
        <f t="shared" si="5"/>
        <v>0</v>
      </c>
    </row>
    <row r="197" spans="1:6" s="138" customFormat="1" ht="30" x14ac:dyDescent="0.25">
      <c r="A197" s="147">
        <v>69</v>
      </c>
      <c r="B197" s="150" t="s">
        <v>151</v>
      </c>
      <c r="C197" s="366" t="s">
        <v>88</v>
      </c>
      <c r="D197" s="398">
        <v>1</v>
      </c>
      <c r="E197" s="367"/>
      <c r="F197" s="8">
        <f t="shared" si="5"/>
        <v>0</v>
      </c>
    </row>
    <row r="198" spans="1:6" s="138" customFormat="1" ht="15" x14ac:dyDescent="0.25">
      <c r="A198" s="147">
        <v>70</v>
      </c>
      <c r="B198" s="150" t="s">
        <v>152</v>
      </c>
      <c r="C198" s="366" t="s">
        <v>43</v>
      </c>
      <c r="D198" s="398">
        <v>3.93</v>
      </c>
      <c r="E198" s="367"/>
      <c r="F198" s="8">
        <f t="shared" si="5"/>
        <v>0</v>
      </c>
    </row>
    <row r="199" spans="1:6" ht="15" x14ac:dyDescent="0.25">
      <c r="A199" s="147">
        <v>71</v>
      </c>
      <c r="B199" s="150" t="s">
        <v>153</v>
      </c>
      <c r="C199" s="366" t="s">
        <v>43</v>
      </c>
      <c r="D199" s="398">
        <v>3.93</v>
      </c>
      <c r="E199" s="367"/>
      <c r="F199" s="8">
        <f t="shared" si="5"/>
        <v>0</v>
      </c>
    </row>
    <row r="200" spans="1:6" s="138" customFormat="1" ht="45" x14ac:dyDescent="0.25">
      <c r="A200" s="147">
        <v>72</v>
      </c>
      <c r="B200" s="150" t="s">
        <v>154</v>
      </c>
      <c r="C200" s="366" t="s">
        <v>43</v>
      </c>
      <c r="D200" s="398">
        <v>1.22</v>
      </c>
      <c r="E200" s="367"/>
      <c r="F200" s="8">
        <f t="shared" si="5"/>
        <v>0</v>
      </c>
    </row>
    <row r="201" spans="1:6" s="138" customFormat="1" ht="30" x14ac:dyDescent="0.25">
      <c r="A201" s="147">
        <v>73</v>
      </c>
      <c r="B201" s="150" t="s">
        <v>143</v>
      </c>
      <c r="C201" s="366" t="s">
        <v>50</v>
      </c>
      <c r="D201" s="398">
        <v>1.22</v>
      </c>
      <c r="E201" s="367"/>
      <c r="F201" s="8">
        <f t="shared" si="5"/>
        <v>0</v>
      </c>
    </row>
    <row r="202" spans="1:6" ht="60" x14ac:dyDescent="0.25">
      <c r="A202" s="147">
        <v>74</v>
      </c>
      <c r="B202" s="153" t="s">
        <v>155</v>
      </c>
      <c r="C202" s="368" t="s">
        <v>50</v>
      </c>
      <c r="D202" s="399">
        <v>130</v>
      </c>
      <c r="E202" s="369"/>
      <c r="F202" s="8">
        <f t="shared" si="5"/>
        <v>0</v>
      </c>
    </row>
    <row r="203" spans="1:6" ht="15" x14ac:dyDescent="0.25">
      <c r="A203" s="21"/>
      <c r="B203" s="12" t="s">
        <v>199</v>
      </c>
      <c r="C203" s="13"/>
      <c r="D203" s="400"/>
      <c r="E203" s="14"/>
      <c r="F203" s="14">
        <f>SUM(F188:F202)</f>
        <v>0</v>
      </c>
    </row>
    <row r="204" spans="1:6" ht="39" x14ac:dyDescent="0.25">
      <c r="A204" s="265"/>
      <c r="B204" s="265" t="s">
        <v>172</v>
      </c>
      <c r="C204" s="370"/>
      <c r="D204" s="401"/>
      <c r="E204" s="371"/>
      <c r="F204" s="111">
        <f>SUM(F203+F186)</f>
        <v>0</v>
      </c>
    </row>
    <row r="205" spans="1:6" s="138" customFormat="1" ht="38.25" customHeight="1" x14ac:dyDescent="0.25">
      <c r="A205" s="372" t="s">
        <v>203</v>
      </c>
      <c r="B205" s="373"/>
      <c r="C205" s="374"/>
      <c r="D205" s="402"/>
      <c r="E205" s="375"/>
      <c r="F205" s="376"/>
    </row>
    <row r="206" spans="1:6" ht="15" x14ac:dyDescent="0.25">
      <c r="A206" s="4" t="s">
        <v>24</v>
      </c>
      <c r="B206" s="28" t="s">
        <v>25</v>
      </c>
      <c r="C206" s="31" t="s">
        <v>26</v>
      </c>
      <c r="D206" s="390">
        <v>1</v>
      </c>
      <c r="E206" s="29"/>
      <c r="F206" s="8">
        <f t="shared" ref="F206:F255" si="6">D206*E206</f>
        <v>0</v>
      </c>
    </row>
    <row r="207" spans="1:6" s="138" customFormat="1" ht="18" x14ac:dyDescent="0.25">
      <c r="A207" s="4" t="s">
        <v>27</v>
      </c>
      <c r="B207" s="28" t="s">
        <v>28</v>
      </c>
      <c r="C207" s="31" t="s">
        <v>159</v>
      </c>
      <c r="D207" s="390">
        <f>14.3*9</f>
        <v>128.70000000000002</v>
      </c>
      <c r="E207" s="29"/>
      <c r="F207" s="8">
        <f t="shared" si="6"/>
        <v>0</v>
      </c>
    </row>
    <row r="208" spans="1:6" s="138" customFormat="1" ht="18" x14ac:dyDescent="0.25">
      <c r="A208" s="4" t="s">
        <v>30</v>
      </c>
      <c r="B208" s="28" t="s">
        <v>31</v>
      </c>
      <c r="C208" s="31" t="s">
        <v>160</v>
      </c>
      <c r="D208" s="390">
        <f>D207*0.5</f>
        <v>64.350000000000009</v>
      </c>
      <c r="E208" s="29"/>
      <c r="F208" s="8">
        <f t="shared" si="6"/>
        <v>0</v>
      </c>
    </row>
    <row r="209" spans="1:6" s="138" customFormat="1" ht="45" x14ac:dyDescent="0.25">
      <c r="A209" s="4" t="s">
        <v>33</v>
      </c>
      <c r="B209" s="28" t="s">
        <v>34</v>
      </c>
      <c r="C209" s="31" t="s">
        <v>160</v>
      </c>
      <c r="D209" s="390">
        <f>17.3*5.9*3</f>
        <v>306.21000000000004</v>
      </c>
      <c r="E209" s="29"/>
      <c r="F209" s="8">
        <f t="shared" si="6"/>
        <v>0</v>
      </c>
    </row>
    <row r="210" spans="1:6" ht="18" x14ac:dyDescent="0.25">
      <c r="A210" s="4" t="s">
        <v>35</v>
      </c>
      <c r="B210" s="2" t="s">
        <v>36</v>
      </c>
      <c r="C210" s="31" t="s">
        <v>160</v>
      </c>
      <c r="D210" s="391">
        <f>(14.3+2.9)*2*1.5*3</f>
        <v>154.79999999999998</v>
      </c>
      <c r="E210" s="8"/>
      <c r="F210" s="8">
        <f t="shared" si="6"/>
        <v>0</v>
      </c>
    </row>
    <row r="211" spans="1:6" s="138" customFormat="1" ht="18" x14ac:dyDescent="0.25">
      <c r="A211" s="4" t="s">
        <v>37</v>
      </c>
      <c r="B211" s="2" t="s">
        <v>38</v>
      </c>
      <c r="C211" s="31" t="s">
        <v>160</v>
      </c>
      <c r="D211" s="390">
        <f>D208+D209-D210</f>
        <v>215.76000000000008</v>
      </c>
      <c r="E211" s="8"/>
      <c r="F211" s="8">
        <f t="shared" si="6"/>
        <v>0</v>
      </c>
    </row>
    <row r="212" spans="1:6" s="138" customFormat="1" ht="45" x14ac:dyDescent="0.25">
      <c r="A212" s="4" t="s">
        <v>39</v>
      </c>
      <c r="B212" s="2" t="s">
        <v>40</v>
      </c>
      <c r="C212" s="31" t="s">
        <v>160</v>
      </c>
      <c r="D212" s="390">
        <f>(13.9+2.5)*2*0.4*0.05</f>
        <v>0.65600000000000003</v>
      </c>
      <c r="E212" s="8"/>
      <c r="F212" s="8">
        <f t="shared" si="6"/>
        <v>0</v>
      </c>
    </row>
    <row r="213" spans="1:6" s="138" customFormat="1" ht="45" x14ac:dyDescent="0.25">
      <c r="A213" s="4" t="s">
        <v>41</v>
      </c>
      <c r="B213" s="2" t="s">
        <v>42</v>
      </c>
      <c r="C213" s="3" t="s">
        <v>43</v>
      </c>
      <c r="D213" s="390">
        <f>(13.9+2.5)*2*0.4*3</f>
        <v>39.36</v>
      </c>
      <c r="E213" s="8"/>
      <c r="F213" s="8">
        <f t="shared" si="6"/>
        <v>0</v>
      </c>
    </row>
    <row r="214" spans="1:6" s="138" customFormat="1" ht="15" x14ac:dyDescent="0.25">
      <c r="A214" s="4" t="s">
        <v>44</v>
      </c>
      <c r="B214" s="2" t="s">
        <v>45</v>
      </c>
      <c r="C214" s="3" t="s">
        <v>43</v>
      </c>
      <c r="D214" s="390">
        <f>(13.9+2.5)*2*0.4*0.05</f>
        <v>0.65600000000000003</v>
      </c>
      <c r="E214" s="8"/>
      <c r="F214" s="8">
        <f t="shared" si="6"/>
        <v>0</v>
      </c>
    </row>
    <row r="215" spans="1:6" ht="15" x14ac:dyDescent="0.25">
      <c r="A215" s="4" t="s">
        <v>46</v>
      </c>
      <c r="B215" s="2" t="s">
        <v>47</v>
      </c>
      <c r="C215" s="3" t="s">
        <v>43</v>
      </c>
      <c r="D215" s="390">
        <f>(13.9+2.5)*2*0.2*0.25*3</f>
        <v>4.92</v>
      </c>
      <c r="E215" s="8"/>
      <c r="F215" s="8">
        <f t="shared" si="6"/>
        <v>0</v>
      </c>
    </row>
    <row r="216" spans="1:6" s="138" customFormat="1" ht="30" x14ac:dyDescent="0.25">
      <c r="A216" s="4" t="s">
        <v>48</v>
      </c>
      <c r="B216" s="2" t="s">
        <v>49</v>
      </c>
      <c r="C216" s="3" t="s">
        <v>50</v>
      </c>
      <c r="D216" s="390">
        <f>(13.5+2.1)*2*3</f>
        <v>93.6</v>
      </c>
      <c r="E216" s="8"/>
      <c r="F216" s="8">
        <f t="shared" si="6"/>
        <v>0</v>
      </c>
    </row>
    <row r="217" spans="1:6" ht="30" x14ac:dyDescent="0.25">
      <c r="A217" s="4" t="s">
        <v>51</v>
      </c>
      <c r="B217" s="2" t="s">
        <v>52</v>
      </c>
      <c r="C217" s="3" t="s">
        <v>43</v>
      </c>
      <c r="D217" s="390">
        <f>13.5*2.1*0.3</f>
        <v>8.5050000000000008</v>
      </c>
      <c r="E217" s="8"/>
      <c r="F217" s="8">
        <f t="shared" si="6"/>
        <v>0</v>
      </c>
    </row>
    <row r="218" spans="1:6" s="138" customFormat="1" ht="45" x14ac:dyDescent="0.25">
      <c r="A218" s="4" t="s">
        <v>53</v>
      </c>
      <c r="B218" s="2" t="s">
        <v>54</v>
      </c>
      <c r="C218" s="3" t="s">
        <v>55</v>
      </c>
      <c r="D218" s="390">
        <v>1</v>
      </c>
      <c r="E218" s="8"/>
      <c r="F218" s="8">
        <f t="shared" si="6"/>
        <v>0</v>
      </c>
    </row>
    <row r="219" spans="1:6" s="138" customFormat="1" ht="30" x14ac:dyDescent="0.25">
      <c r="A219" s="4" t="s">
        <v>56</v>
      </c>
      <c r="B219" s="2" t="s">
        <v>57</v>
      </c>
      <c r="C219" s="3" t="s">
        <v>43</v>
      </c>
      <c r="D219" s="390">
        <f>13.3*8*0.15-D220</f>
        <v>15.690000000000001</v>
      </c>
      <c r="E219" s="8"/>
      <c r="F219" s="8">
        <f t="shared" si="6"/>
        <v>0</v>
      </c>
    </row>
    <row r="220" spans="1:6" s="138" customFormat="1" ht="30" x14ac:dyDescent="0.25">
      <c r="A220" s="4" t="s">
        <v>58</v>
      </c>
      <c r="B220" s="2" t="s">
        <v>59</v>
      </c>
      <c r="C220" s="3" t="s">
        <v>50</v>
      </c>
      <c r="D220" s="390">
        <f>1.5*0.6*0.15*2</f>
        <v>0.26999999999999996</v>
      </c>
      <c r="E220" s="8"/>
      <c r="F220" s="8">
        <f t="shared" si="6"/>
        <v>0</v>
      </c>
    </row>
    <row r="221" spans="1:6" ht="15" x14ac:dyDescent="0.25">
      <c r="A221" s="4" t="s">
        <v>60</v>
      </c>
      <c r="B221" s="2" t="s">
        <v>61</v>
      </c>
      <c r="C221" s="3" t="s">
        <v>62</v>
      </c>
      <c r="D221" s="390">
        <v>81.2</v>
      </c>
      <c r="E221" s="8"/>
      <c r="F221" s="8">
        <f t="shared" si="6"/>
        <v>0</v>
      </c>
    </row>
    <row r="222" spans="1:6" s="138" customFormat="1" ht="30" x14ac:dyDescent="0.25">
      <c r="A222" s="4" t="s">
        <v>124</v>
      </c>
      <c r="B222" s="2" t="s">
        <v>119</v>
      </c>
      <c r="C222" s="3" t="s">
        <v>43</v>
      </c>
      <c r="D222" s="390">
        <f>0.2*0.2*3.4*8</f>
        <v>1.0880000000000001</v>
      </c>
      <c r="E222" s="8"/>
      <c r="F222" s="8">
        <f t="shared" si="6"/>
        <v>0</v>
      </c>
    </row>
    <row r="223" spans="1:6" s="138" customFormat="1" ht="30" x14ac:dyDescent="0.25">
      <c r="A223" s="4" t="s">
        <v>125</v>
      </c>
      <c r="B223" s="2" t="s">
        <v>121</v>
      </c>
      <c r="C223" s="3" t="s">
        <v>43</v>
      </c>
      <c r="D223" s="392">
        <f>(10*3+7.3*2+6)*0.2*0.2</f>
        <v>2.0240000000000005</v>
      </c>
      <c r="E223" s="8"/>
      <c r="F223" s="8">
        <f t="shared" si="6"/>
        <v>0</v>
      </c>
    </row>
    <row r="224" spans="1:6" s="138" customFormat="1" ht="30" x14ac:dyDescent="0.25">
      <c r="A224" s="4" t="s">
        <v>63</v>
      </c>
      <c r="B224" s="2" t="s">
        <v>64</v>
      </c>
      <c r="C224" s="3" t="s">
        <v>50</v>
      </c>
      <c r="D224" s="392">
        <f>(10*2+7.3*2+4)*3.4-1.2*3.4*3</f>
        <v>119.00000000000001</v>
      </c>
      <c r="E224" s="8"/>
      <c r="F224" s="8">
        <f t="shared" si="6"/>
        <v>0</v>
      </c>
    </row>
    <row r="225" spans="1:6" s="138" customFormat="1" ht="30" x14ac:dyDescent="0.25">
      <c r="A225" s="4" t="s">
        <v>127</v>
      </c>
      <c r="B225" s="2" t="s">
        <v>123</v>
      </c>
      <c r="C225" s="3" t="s">
        <v>50</v>
      </c>
      <c r="D225" s="390">
        <f>10*3.4+(10*2+1.1*14+8)*2.1-0.8*2.1*14</f>
        <v>101.62</v>
      </c>
      <c r="E225" s="8"/>
      <c r="F225" s="8">
        <f t="shared" si="6"/>
        <v>0</v>
      </c>
    </row>
    <row r="226" spans="1:6" ht="15" x14ac:dyDescent="0.25">
      <c r="A226" s="4" t="s">
        <v>65</v>
      </c>
      <c r="B226" s="2" t="s">
        <v>66</v>
      </c>
      <c r="C226" s="3" t="s">
        <v>67</v>
      </c>
      <c r="D226" s="390">
        <v>12</v>
      </c>
      <c r="E226" s="8"/>
      <c r="F226" s="8">
        <f t="shared" si="6"/>
        <v>0</v>
      </c>
    </row>
    <row r="227" spans="1:6" s="138" customFormat="1" ht="15" x14ac:dyDescent="0.25">
      <c r="A227" s="4" t="s">
        <v>68</v>
      </c>
      <c r="B227" s="2" t="s">
        <v>69</v>
      </c>
      <c r="C227" s="3" t="s">
        <v>70</v>
      </c>
      <c r="D227" s="392">
        <f>95.87*1.4</f>
        <v>134.21799999999999</v>
      </c>
      <c r="E227" s="8"/>
      <c r="F227" s="8">
        <f t="shared" si="6"/>
        <v>0</v>
      </c>
    </row>
    <row r="228" spans="1:6" s="138" customFormat="1" ht="30" x14ac:dyDescent="0.25">
      <c r="A228" s="4" t="s">
        <v>71</v>
      </c>
      <c r="B228" s="2" t="s">
        <v>126</v>
      </c>
      <c r="C228" s="3" t="s">
        <v>50</v>
      </c>
      <c r="D228" s="390">
        <f>13.3*8*1.15</f>
        <v>122.36</v>
      </c>
      <c r="E228" s="8"/>
      <c r="F228" s="8">
        <f t="shared" si="6"/>
        <v>0</v>
      </c>
    </row>
    <row r="229" spans="1:6" s="138" customFormat="1" ht="15" x14ac:dyDescent="0.25">
      <c r="A229" s="4" t="s">
        <v>73</v>
      </c>
      <c r="B229" s="2" t="s">
        <v>74</v>
      </c>
      <c r="C229" s="3" t="s">
        <v>70</v>
      </c>
      <c r="D229" s="390">
        <v>13.3</v>
      </c>
      <c r="E229" s="8"/>
      <c r="F229" s="8">
        <f t="shared" si="6"/>
        <v>0</v>
      </c>
    </row>
    <row r="230" spans="1:6" ht="15" x14ac:dyDescent="0.25">
      <c r="A230" s="4" t="s">
        <v>75</v>
      </c>
      <c r="B230" s="2" t="s">
        <v>76</v>
      </c>
      <c r="C230" s="3" t="s">
        <v>70</v>
      </c>
      <c r="D230" s="390">
        <f>13.3+16*1.1</f>
        <v>30.900000000000002</v>
      </c>
      <c r="E230" s="8"/>
      <c r="F230" s="8">
        <f t="shared" si="6"/>
        <v>0</v>
      </c>
    </row>
    <row r="231" spans="1:6" s="138" customFormat="1" ht="45" x14ac:dyDescent="0.25">
      <c r="A231" s="4" t="s">
        <v>77</v>
      </c>
      <c r="B231" s="2" t="s">
        <v>78</v>
      </c>
      <c r="C231" s="3" t="s">
        <v>79</v>
      </c>
      <c r="D231" s="393">
        <v>1</v>
      </c>
      <c r="E231" s="8"/>
      <c r="F231" s="8">
        <f t="shared" si="6"/>
        <v>0</v>
      </c>
    </row>
    <row r="232" spans="1:6" s="138" customFormat="1" ht="45" x14ac:dyDescent="0.25">
      <c r="A232" s="4" t="s">
        <v>80</v>
      </c>
      <c r="B232" s="2" t="s">
        <v>81</v>
      </c>
      <c r="C232" s="3" t="s">
        <v>50</v>
      </c>
      <c r="D232" s="390">
        <f>D225*2+D224</f>
        <v>322.24</v>
      </c>
      <c r="E232" s="8"/>
      <c r="F232" s="8">
        <f t="shared" si="6"/>
        <v>0</v>
      </c>
    </row>
    <row r="233" spans="1:6" ht="30" x14ac:dyDescent="0.25">
      <c r="A233" s="4" t="s">
        <v>82</v>
      </c>
      <c r="B233" s="2" t="s">
        <v>83</v>
      </c>
      <c r="C233" s="3" t="s">
        <v>50</v>
      </c>
      <c r="D233" s="390">
        <f>D224</f>
        <v>119.00000000000001</v>
      </c>
      <c r="E233" s="8"/>
      <c r="F233" s="8">
        <f t="shared" si="6"/>
        <v>0</v>
      </c>
    </row>
    <row r="234" spans="1:6" s="138" customFormat="1" ht="30" x14ac:dyDescent="0.25">
      <c r="A234" s="118" t="s">
        <v>84</v>
      </c>
      <c r="B234" s="10" t="s">
        <v>85</v>
      </c>
      <c r="C234" s="119" t="s">
        <v>26</v>
      </c>
      <c r="D234" s="403">
        <v>1</v>
      </c>
      <c r="E234" s="11"/>
      <c r="F234" s="11">
        <f t="shared" si="6"/>
        <v>0</v>
      </c>
    </row>
    <row r="235" spans="1:6" s="120" customFormat="1" ht="45" x14ac:dyDescent="0.25">
      <c r="A235" s="121" t="s">
        <v>130</v>
      </c>
      <c r="B235" s="121" t="s">
        <v>87</v>
      </c>
      <c r="C235" s="122" t="s">
        <v>88</v>
      </c>
      <c r="D235" s="407">
        <v>1</v>
      </c>
      <c r="E235" s="126"/>
      <c r="F235" s="126">
        <f t="shared" si="6"/>
        <v>0</v>
      </c>
    </row>
    <row r="236" spans="1:6" ht="15" x14ac:dyDescent="0.25">
      <c r="A236" s="122" t="s">
        <v>86</v>
      </c>
      <c r="B236" s="121" t="s">
        <v>90</v>
      </c>
      <c r="C236" s="31" t="s">
        <v>70</v>
      </c>
      <c r="D236" s="390">
        <v>77.2</v>
      </c>
      <c r="E236" s="123"/>
      <c r="F236" s="123">
        <f t="shared" si="6"/>
        <v>0</v>
      </c>
    </row>
    <row r="237" spans="1:6" ht="30" x14ac:dyDescent="0.25">
      <c r="A237" s="40" t="s">
        <v>89</v>
      </c>
      <c r="B237" s="41" t="s">
        <v>92</v>
      </c>
      <c r="C237" s="42" t="s">
        <v>43</v>
      </c>
      <c r="D237" s="391">
        <f>13.3*8*0.05</f>
        <v>5.32</v>
      </c>
      <c r="E237" s="43"/>
      <c r="F237" s="43">
        <f t="shared" si="6"/>
        <v>0</v>
      </c>
    </row>
    <row r="238" spans="1:6" ht="15" x14ac:dyDescent="0.25">
      <c r="A238" s="4" t="s">
        <v>91</v>
      </c>
      <c r="B238" s="2" t="s">
        <v>94</v>
      </c>
      <c r="C238" s="3" t="s">
        <v>50</v>
      </c>
      <c r="D238" s="390">
        <f>12.2*7.3-5.3*2</f>
        <v>78.459999999999994</v>
      </c>
      <c r="E238" s="8"/>
      <c r="F238" s="8">
        <f t="shared" si="6"/>
        <v>0</v>
      </c>
    </row>
    <row r="239" spans="1:6" ht="15" x14ac:dyDescent="0.25">
      <c r="A239" s="4" t="s">
        <v>93</v>
      </c>
      <c r="B239" s="2" t="s">
        <v>96</v>
      </c>
      <c r="C239" s="3" t="s">
        <v>50</v>
      </c>
      <c r="D239" s="390">
        <f>8*13.3-D238</f>
        <v>27.940000000000012</v>
      </c>
      <c r="E239" s="8"/>
      <c r="F239" s="8">
        <f t="shared" si="6"/>
        <v>0</v>
      </c>
    </row>
    <row r="240" spans="1:6" s="138" customFormat="1" ht="45" x14ac:dyDescent="0.25">
      <c r="A240" s="4" t="s">
        <v>95</v>
      </c>
      <c r="B240" s="2" t="s">
        <v>129</v>
      </c>
      <c r="C240" s="3" t="s">
        <v>88</v>
      </c>
      <c r="D240" s="390">
        <v>16</v>
      </c>
      <c r="E240" s="8"/>
      <c r="F240" s="8">
        <f t="shared" si="6"/>
        <v>0</v>
      </c>
    </row>
    <row r="241" spans="1:6" s="140" customFormat="1" ht="30" x14ac:dyDescent="0.25">
      <c r="A241" s="4" t="s">
        <v>135</v>
      </c>
      <c r="B241" s="5" t="s">
        <v>131</v>
      </c>
      <c r="C241" s="6" t="s">
        <v>88</v>
      </c>
      <c r="D241" s="390">
        <v>14</v>
      </c>
      <c r="E241" s="9"/>
      <c r="F241" s="9">
        <f t="shared" si="6"/>
        <v>0</v>
      </c>
    </row>
    <row r="242" spans="1:6" s="139" customFormat="1" ht="45" x14ac:dyDescent="0.25">
      <c r="A242" s="44" t="s">
        <v>99</v>
      </c>
      <c r="B242" s="45" t="s">
        <v>98</v>
      </c>
      <c r="C242" s="46" t="s">
        <v>88</v>
      </c>
      <c r="D242" s="390">
        <v>1</v>
      </c>
      <c r="E242" s="47"/>
      <c r="F242" s="29">
        <f t="shared" si="6"/>
        <v>0</v>
      </c>
    </row>
    <row r="243" spans="1:6" s="139" customFormat="1" ht="30" x14ac:dyDescent="0.25">
      <c r="A243" s="44" t="s">
        <v>101</v>
      </c>
      <c r="B243" s="45" t="s">
        <v>100</v>
      </c>
      <c r="C243" s="46" t="s">
        <v>88</v>
      </c>
      <c r="D243" s="390">
        <v>1</v>
      </c>
      <c r="E243" s="47"/>
      <c r="F243" s="29">
        <f t="shared" si="6"/>
        <v>0</v>
      </c>
    </row>
    <row r="244" spans="1:6" s="139" customFormat="1" ht="15" x14ac:dyDescent="0.25">
      <c r="A244" s="44" t="s">
        <v>103</v>
      </c>
      <c r="B244" s="45" t="s">
        <v>102</v>
      </c>
      <c r="C244" s="46" t="s">
        <v>88</v>
      </c>
      <c r="D244" s="390">
        <v>1</v>
      </c>
      <c r="E244" s="47"/>
      <c r="F244" s="29">
        <f t="shared" si="6"/>
        <v>0</v>
      </c>
    </row>
    <row r="245" spans="1:6" ht="30" x14ac:dyDescent="0.25">
      <c r="A245" s="40" t="s">
        <v>105</v>
      </c>
      <c r="B245" s="41" t="s">
        <v>104</v>
      </c>
      <c r="C245" s="42" t="s">
        <v>50</v>
      </c>
      <c r="D245" s="391">
        <f>1.1*4*0.6</f>
        <v>2.64</v>
      </c>
      <c r="E245" s="43"/>
      <c r="F245" s="8">
        <f t="shared" si="6"/>
        <v>0</v>
      </c>
    </row>
    <row r="246" spans="1:6" s="142" customFormat="1" ht="15" x14ac:dyDescent="0.25">
      <c r="A246" s="4" t="s">
        <v>107</v>
      </c>
      <c r="B246" s="5" t="s">
        <v>106</v>
      </c>
      <c r="C246" s="6" t="s">
        <v>26</v>
      </c>
      <c r="D246" s="390">
        <v>1</v>
      </c>
      <c r="E246" s="9"/>
      <c r="F246" s="8">
        <f t="shared" si="6"/>
        <v>0</v>
      </c>
    </row>
    <row r="247" spans="1:6" ht="30" x14ac:dyDescent="0.25">
      <c r="A247" s="4" t="s">
        <v>161</v>
      </c>
      <c r="B247" s="2" t="s">
        <v>108</v>
      </c>
      <c r="C247" s="3" t="s">
        <v>50</v>
      </c>
      <c r="D247" s="390">
        <f>D232</f>
        <v>322.24</v>
      </c>
      <c r="E247" s="8"/>
      <c r="F247" s="8">
        <f t="shared" si="6"/>
        <v>0</v>
      </c>
    </row>
    <row r="248" spans="1:6" s="138" customFormat="1" ht="60" x14ac:dyDescent="0.25">
      <c r="A248" s="4" t="s">
        <v>109</v>
      </c>
      <c r="B248" s="5" t="s">
        <v>133</v>
      </c>
      <c r="C248" s="3" t="s">
        <v>55</v>
      </c>
      <c r="D248" s="390">
        <v>16</v>
      </c>
      <c r="E248" s="8"/>
      <c r="F248" s="8">
        <f t="shared" si="6"/>
        <v>0</v>
      </c>
    </row>
    <row r="249" spans="1:6" s="140" customFormat="1" ht="60" x14ac:dyDescent="0.25">
      <c r="A249" s="26" t="s">
        <v>187</v>
      </c>
      <c r="B249" s="5" t="s">
        <v>110</v>
      </c>
      <c r="C249" s="6" t="s">
        <v>88</v>
      </c>
      <c r="D249" s="390">
        <v>1</v>
      </c>
      <c r="E249" s="9"/>
      <c r="F249" s="9">
        <f t="shared" si="6"/>
        <v>0</v>
      </c>
    </row>
    <row r="250" spans="1:6" s="138" customFormat="1" ht="30" x14ac:dyDescent="0.25">
      <c r="A250" s="4" t="s">
        <v>162</v>
      </c>
      <c r="B250" s="2" t="s">
        <v>134</v>
      </c>
      <c r="C250" s="3" t="s">
        <v>43</v>
      </c>
      <c r="D250" s="390">
        <f>1.1*4*0.6*0.1</f>
        <v>0.26400000000000001</v>
      </c>
      <c r="E250" s="8"/>
      <c r="F250" s="8">
        <f t="shared" si="6"/>
        <v>0</v>
      </c>
    </row>
    <row r="251" spans="1:6" ht="30" x14ac:dyDescent="0.25">
      <c r="A251" s="4" t="s">
        <v>163</v>
      </c>
      <c r="B251" s="2" t="s">
        <v>136</v>
      </c>
      <c r="C251" s="3" t="s">
        <v>70</v>
      </c>
      <c r="D251" s="390">
        <v>30</v>
      </c>
      <c r="E251" s="8"/>
      <c r="F251" s="8">
        <f t="shared" si="6"/>
        <v>0</v>
      </c>
    </row>
    <row r="252" spans="1:6" ht="75" x14ac:dyDescent="0.25">
      <c r="A252" s="4" t="s">
        <v>164</v>
      </c>
      <c r="B252" s="2" t="s">
        <v>137</v>
      </c>
      <c r="C252" s="3" t="s">
        <v>70</v>
      </c>
      <c r="D252" s="390">
        <v>20</v>
      </c>
      <c r="E252" s="8"/>
      <c r="F252" s="8">
        <f t="shared" si="6"/>
        <v>0</v>
      </c>
    </row>
    <row r="253" spans="1:6" s="140" customFormat="1" ht="30" x14ac:dyDescent="0.25">
      <c r="A253" s="4" t="s">
        <v>111</v>
      </c>
      <c r="B253" s="5" t="s">
        <v>138</v>
      </c>
      <c r="C253" s="6" t="s">
        <v>55</v>
      </c>
      <c r="D253" s="390">
        <v>4</v>
      </c>
      <c r="E253" s="9"/>
      <c r="F253" s="9">
        <f t="shared" si="6"/>
        <v>0</v>
      </c>
    </row>
    <row r="254" spans="1:6" ht="30" x14ac:dyDescent="0.25">
      <c r="A254" s="4" t="s">
        <v>165</v>
      </c>
      <c r="B254" s="2" t="s">
        <v>112</v>
      </c>
      <c r="C254" s="3" t="s">
        <v>43</v>
      </c>
      <c r="D254" s="390">
        <v>1.1599999999999999</v>
      </c>
      <c r="E254" s="8"/>
      <c r="F254" s="8">
        <f t="shared" si="6"/>
        <v>0</v>
      </c>
    </row>
    <row r="255" spans="1:6" s="142" customFormat="1" ht="15" x14ac:dyDescent="0.25">
      <c r="A255" s="26" t="s">
        <v>169</v>
      </c>
      <c r="B255" s="37" t="s">
        <v>139</v>
      </c>
      <c r="C255" s="38" t="s">
        <v>43</v>
      </c>
      <c r="D255" s="403">
        <v>10.8</v>
      </c>
      <c r="E255" s="39"/>
      <c r="F255" s="39">
        <f t="shared" si="6"/>
        <v>0</v>
      </c>
    </row>
    <row r="256" spans="1:6" ht="15" x14ac:dyDescent="0.25">
      <c r="A256" s="19"/>
      <c r="B256" s="15" t="s">
        <v>113</v>
      </c>
      <c r="C256" s="16"/>
      <c r="D256" s="400"/>
      <c r="E256" s="17"/>
      <c r="F256" s="17">
        <f>SUM(F206:F255)</f>
        <v>0</v>
      </c>
    </row>
    <row r="257" spans="1:6" s="138" customFormat="1" ht="18.75" x14ac:dyDescent="0.25">
      <c r="A257" s="22"/>
      <c r="B257" s="10" t="s">
        <v>204</v>
      </c>
      <c r="C257" s="23"/>
      <c r="D257" s="404"/>
      <c r="E257" s="124"/>
      <c r="F257" s="125"/>
    </row>
    <row r="258" spans="1:6" s="138" customFormat="1" ht="15" x14ac:dyDescent="0.25">
      <c r="A258" s="147">
        <v>57</v>
      </c>
      <c r="B258" s="148" t="s">
        <v>141</v>
      </c>
      <c r="C258" s="364" t="s">
        <v>50</v>
      </c>
      <c r="D258" s="397">
        <v>4.1500000000000004</v>
      </c>
      <c r="E258" s="365"/>
      <c r="F258" s="8">
        <f t="shared" ref="F258:F272" si="7">D258*E258</f>
        <v>0</v>
      </c>
    </row>
    <row r="259" spans="1:6" s="138" customFormat="1" ht="30" x14ac:dyDescent="0.25">
      <c r="A259" s="147">
        <v>58</v>
      </c>
      <c r="B259" s="150" t="s">
        <v>142</v>
      </c>
      <c r="C259" s="366" t="s">
        <v>43</v>
      </c>
      <c r="D259" s="398">
        <v>3.01</v>
      </c>
      <c r="E259" s="367"/>
      <c r="F259" s="8">
        <f>D259*E259</f>
        <v>0</v>
      </c>
    </row>
    <row r="260" spans="1:6" ht="30" x14ac:dyDescent="0.25">
      <c r="A260" s="147">
        <v>59</v>
      </c>
      <c r="B260" s="150" t="s">
        <v>143</v>
      </c>
      <c r="C260" s="366" t="s">
        <v>50</v>
      </c>
      <c r="D260" s="398">
        <v>2.54</v>
      </c>
      <c r="E260" s="367"/>
      <c r="F260" s="8">
        <f>D260*E260</f>
        <v>0</v>
      </c>
    </row>
    <row r="261" spans="1:6" ht="30" x14ac:dyDescent="0.25">
      <c r="A261" s="147">
        <v>60</v>
      </c>
      <c r="B261" s="150" t="s">
        <v>144</v>
      </c>
      <c r="C261" s="366" t="s">
        <v>145</v>
      </c>
      <c r="D261" s="398">
        <v>1</v>
      </c>
      <c r="E261" s="367"/>
      <c r="F261" s="8">
        <f t="shared" si="7"/>
        <v>0</v>
      </c>
    </row>
    <row r="262" spans="1:6" ht="45" x14ac:dyDescent="0.25">
      <c r="A262" s="147">
        <v>61</v>
      </c>
      <c r="B262" s="150" t="s">
        <v>146</v>
      </c>
      <c r="C262" s="366" t="s">
        <v>43</v>
      </c>
      <c r="D262" s="398">
        <v>0.2</v>
      </c>
      <c r="E262" s="367"/>
      <c r="F262" s="8">
        <f t="shared" si="7"/>
        <v>0</v>
      </c>
    </row>
    <row r="263" spans="1:6" ht="30" x14ac:dyDescent="0.25">
      <c r="A263" s="147">
        <v>62</v>
      </c>
      <c r="B263" s="150" t="s">
        <v>147</v>
      </c>
      <c r="C263" s="366" t="s">
        <v>50</v>
      </c>
      <c r="D263" s="398">
        <v>2</v>
      </c>
      <c r="E263" s="367"/>
      <c r="F263" s="8">
        <f t="shared" si="7"/>
        <v>0</v>
      </c>
    </row>
    <row r="264" spans="1:6" s="138" customFormat="1" ht="30" x14ac:dyDescent="0.25">
      <c r="A264" s="147">
        <v>63</v>
      </c>
      <c r="B264" s="150" t="s">
        <v>148</v>
      </c>
      <c r="C264" s="366" t="s">
        <v>50</v>
      </c>
      <c r="D264" s="398">
        <v>5.0199999999999996</v>
      </c>
      <c r="E264" s="367"/>
      <c r="F264" s="8">
        <f t="shared" si="7"/>
        <v>0</v>
      </c>
    </row>
    <row r="265" spans="1:6" s="138" customFormat="1" ht="30" x14ac:dyDescent="0.25">
      <c r="A265" s="147">
        <v>64</v>
      </c>
      <c r="B265" s="150" t="s">
        <v>149</v>
      </c>
      <c r="C265" s="366" t="s">
        <v>70</v>
      </c>
      <c r="D265" s="398">
        <v>6</v>
      </c>
      <c r="E265" s="367"/>
      <c r="F265" s="8">
        <f t="shared" si="7"/>
        <v>0</v>
      </c>
    </row>
    <row r="266" spans="1:6" s="138" customFormat="1" ht="30" x14ac:dyDescent="0.25">
      <c r="A266" s="147">
        <v>65</v>
      </c>
      <c r="B266" s="150" t="s">
        <v>150</v>
      </c>
      <c r="C266" s="366" t="s">
        <v>88</v>
      </c>
      <c r="D266" s="398">
        <v>1</v>
      </c>
      <c r="E266" s="367"/>
      <c r="F266" s="8">
        <f t="shared" si="7"/>
        <v>0</v>
      </c>
    </row>
    <row r="267" spans="1:6" s="138" customFormat="1" ht="30" x14ac:dyDescent="0.25">
      <c r="A267" s="147">
        <v>66</v>
      </c>
      <c r="B267" s="150" t="s">
        <v>151</v>
      </c>
      <c r="C267" s="366" t="s">
        <v>88</v>
      </c>
      <c r="D267" s="398">
        <v>1</v>
      </c>
      <c r="E267" s="367"/>
      <c r="F267" s="8">
        <f t="shared" si="7"/>
        <v>0</v>
      </c>
    </row>
    <row r="268" spans="1:6" s="138" customFormat="1" ht="15" x14ac:dyDescent="0.25">
      <c r="A268" s="147">
        <v>67</v>
      </c>
      <c r="B268" s="150" t="s">
        <v>152</v>
      </c>
      <c r="C268" s="366" t="s">
        <v>43</v>
      </c>
      <c r="D268" s="398">
        <v>3.93</v>
      </c>
      <c r="E268" s="367"/>
      <c r="F268" s="8">
        <f t="shared" si="7"/>
        <v>0</v>
      </c>
    </row>
    <row r="269" spans="1:6" ht="15" x14ac:dyDescent="0.25">
      <c r="A269" s="147">
        <v>68</v>
      </c>
      <c r="B269" s="150" t="s">
        <v>153</v>
      </c>
      <c r="C269" s="366" t="s">
        <v>43</v>
      </c>
      <c r="D269" s="398">
        <v>3.93</v>
      </c>
      <c r="E269" s="367"/>
      <c r="F269" s="8">
        <f t="shared" si="7"/>
        <v>0</v>
      </c>
    </row>
    <row r="270" spans="1:6" s="138" customFormat="1" ht="45" x14ac:dyDescent="0.25">
      <c r="A270" s="147">
        <v>69</v>
      </c>
      <c r="B270" s="150" t="s">
        <v>154</v>
      </c>
      <c r="C270" s="366" t="s">
        <v>43</v>
      </c>
      <c r="D270" s="398">
        <v>1.22</v>
      </c>
      <c r="E270" s="367"/>
      <c r="F270" s="8">
        <f>D270*E270</f>
        <v>0</v>
      </c>
    </row>
    <row r="271" spans="1:6" s="138" customFormat="1" ht="30" x14ac:dyDescent="0.25">
      <c r="A271" s="147">
        <v>70</v>
      </c>
      <c r="B271" s="150" t="s">
        <v>143</v>
      </c>
      <c r="C271" s="366" t="s">
        <v>50</v>
      </c>
      <c r="D271" s="398">
        <v>1.22</v>
      </c>
      <c r="E271" s="367"/>
      <c r="F271" s="8">
        <f t="shared" si="7"/>
        <v>0</v>
      </c>
    </row>
    <row r="272" spans="1:6" ht="60" x14ac:dyDescent="0.25">
      <c r="A272" s="147">
        <v>71</v>
      </c>
      <c r="B272" s="153" t="s">
        <v>155</v>
      </c>
      <c r="C272" s="368" t="s">
        <v>50</v>
      </c>
      <c r="D272" s="399">
        <v>130</v>
      </c>
      <c r="E272" s="369"/>
      <c r="F272" s="8">
        <f t="shared" si="7"/>
        <v>0</v>
      </c>
    </row>
    <row r="273" spans="1:6" ht="15.75" x14ac:dyDescent="0.25">
      <c r="A273" s="264"/>
      <c r="B273" s="383" t="s">
        <v>199</v>
      </c>
      <c r="C273" s="383"/>
      <c r="D273" s="405"/>
      <c r="E273" s="383"/>
      <c r="F273" s="377">
        <f>SUM(F258:F272)</f>
        <v>0</v>
      </c>
    </row>
    <row r="274" spans="1:6" ht="39" x14ac:dyDescent="0.25">
      <c r="A274" s="265"/>
      <c r="B274" s="265" t="s">
        <v>172</v>
      </c>
      <c r="C274" s="370"/>
      <c r="D274" s="401"/>
      <c r="E274" s="371"/>
      <c r="F274" s="111">
        <f>SUM(F273+F256)</f>
        <v>0</v>
      </c>
    </row>
    <row r="275" spans="1:6" ht="36.950000000000003" customHeight="1" x14ac:dyDescent="0.25">
      <c r="A275" s="132"/>
      <c r="B275" s="384" t="s">
        <v>173</v>
      </c>
      <c r="C275" s="385"/>
      <c r="D275" s="408"/>
      <c r="E275" s="386"/>
      <c r="F275" s="112"/>
    </row>
  </sheetData>
  <sheetProtection algorithmName="SHA-512" hashValue="Xb2H0EoaASMQZ5DMP6Lk5g6JxTKVjiZ55TPgGx2P5QA8GZt2BPo76ACUPXeT4qL8pkflaGFE1dXFbBRmY+Hl/g==" saltValue="GEpWntkEHm9gtNrVqYywdQ==" spinCount="100000" sheet="1" objects="1" scenarios="1"/>
  <mergeCells count="7">
    <mergeCell ref="A205:B205"/>
    <mergeCell ref="B1:F1"/>
    <mergeCell ref="A2:F2"/>
    <mergeCell ref="A3:B3"/>
    <mergeCell ref="A70:B70"/>
    <mergeCell ref="A141:B141"/>
    <mergeCell ref="E3:F3"/>
  </mergeCells>
  <phoneticPr fontId="16" type="noConversion"/>
  <pageMargins left="0.46" right="0.34" top="0.47" bottom="0.38" header="0.3" footer="0.19"/>
  <pageSetup scale="85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5"/>
  <sheetViews>
    <sheetView topLeftCell="A45" zoomScale="90" zoomScaleNormal="90" workbookViewId="0">
      <selection activeCell="E42" sqref="E42"/>
    </sheetView>
  </sheetViews>
  <sheetFormatPr defaultRowHeight="50.45" customHeight="1" x14ac:dyDescent="0.25"/>
  <cols>
    <col min="1" max="1" width="3.85546875" style="131" customWidth="1"/>
    <col min="2" max="2" width="43.42578125" style="132" customWidth="1"/>
    <col min="3" max="3" width="16.85546875" style="132" customWidth="1"/>
    <col min="4" max="4" width="17.140625" style="286" customWidth="1"/>
    <col min="5" max="5" width="15.85546875" style="132" customWidth="1"/>
    <col min="6" max="6" width="17.42578125" style="132" bestFit="1" customWidth="1"/>
    <col min="7" max="7" width="12.5703125" style="132" bestFit="1" customWidth="1"/>
    <col min="8" max="8" width="10" style="132" customWidth="1"/>
    <col min="9" max="9" width="17.5703125" style="132" customWidth="1"/>
    <col min="10" max="10" width="16" style="132" customWidth="1"/>
    <col min="11" max="16384" width="9.140625" style="132"/>
  </cols>
  <sheetData>
    <row r="1" spans="1:6" ht="15" customHeight="1" x14ac:dyDescent="0.25">
      <c r="B1" s="166" t="s">
        <v>195</v>
      </c>
      <c r="C1" s="166"/>
      <c r="D1" s="270"/>
      <c r="E1" s="166"/>
      <c r="F1" s="166"/>
    </row>
    <row r="2" spans="1:6" s="133" customFormat="1" ht="21" x14ac:dyDescent="0.35">
      <c r="B2" s="355" t="s">
        <v>205</v>
      </c>
      <c r="C2" s="355"/>
      <c r="D2" s="271"/>
      <c r="E2" s="268"/>
      <c r="F2" s="268"/>
    </row>
    <row r="3" spans="1:6" s="138" customFormat="1" ht="28.5" x14ac:dyDescent="0.25">
      <c r="A3" s="257"/>
      <c r="B3" s="258" t="s">
        <v>206</v>
      </c>
      <c r="C3" s="259"/>
      <c r="D3" s="272"/>
      <c r="E3" s="259"/>
      <c r="F3" s="260"/>
    </row>
    <row r="4" spans="1:6" s="138" customFormat="1" ht="15" x14ac:dyDescent="0.25">
      <c r="A4" s="261" t="s">
        <v>18</v>
      </c>
      <c r="B4" s="262" t="s">
        <v>19</v>
      </c>
      <c r="C4" s="262" t="s">
        <v>20</v>
      </c>
      <c r="D4" s="273" t="s">
        <v>21</v>
      </c>
      <c r="E4" s="263" t="s">
        <v>22</v>
      </c>
      <c r="F4" s="263" t="s">
        <v>23</v>
      </c>
    </row>
    <row r="5" spans="1:6" ht="15" x14ac:dyDescent="0.25">
      <c r="A5" s="4" t="s">
        <v>24</v>
      </c>
      <c r="B5" s="28" t="s">
        <v>25</v>
      </c>
      <c r="C5" s="31" t="s">
        <v>26</v>
      </c>
      <c r="D5" s="274">
        <v>1</v>
      </c>
      <c r="E5" s="29"/>
      <c r="F5" s="8">
        <f t="shared" ref="F5:F55" si="0">D5*E5</f>
        <v>0</v>
      </c>
    </row>
    <row r="6" spans="1:6" s="138" customFormat="1" ht="18" x14ac:dyDescent="0.25">
      <c r="A6" s="4" t="s">
        <v>27</v>
      </c>
      <c r="B6" s="28" t="s">
        <v>28</v>
      </c>
      <c r="C6" s="31" t="s">
        <v>159</v>
      </c>
      <c r="D6" s="274">
        <f>11.7*9</f>
        <v>105.3</v>
      </c>
      <c r="E6" s="30"/>
      <c r="F6" s="8">
        <f t="shared" si="0"/>
        <v>0</v>
      </c>
    </row>
    <row r="7" spans="1:6" s="138" customFormat="1" ht="18" x14ac:dyDescent="0.25">
      <c r="A7" s="4" t="s">
        <v>30</v>
      </c>
      <c r="B7" s="28" t="s">
        <v>31</v>
      </c>
      <c r="C7" s="31" t="s">
        <v>160</v>
      </c>
      <c r="D7" s="274">
        <f>D6*0.5</f>
        <v>52.65</v>
      </c>
      <c r="E7" s="29"/>
      <c r="F7" s="8">
        <f t="shared" si="0"/>
        <v>0</v>
      </c>
    </row>
    <row r="8" spans="1:6" s="138" customFormat="1" ht="45" x14ac:dyDescent="0.25">
      <c r="A8" s="4" t="s">
        <v>33</v>
      </c>
      <c r="B8" s="28" t="s">
        <v>34</v>
      </c>
      <c r="C8" s="31" t="s">
        <v>160</v>
      </c>
      <c r="D8" s="274">
        <f>14.9*5.9*3</f>
        <v>263.73</v>
      </c>
      <c r="E8" s="30"/>
      <c r="F8" s="8" t="s">
        <v>207</v>
      </c>
    </row>
    <row r="9" spans="1:6" ht="18" x14ac:dyDescent="0.25">
      <c r="A9" s="4" t="s">
        <v>35</v>
      </c>
      <c r="B9" s="2" t="s">
        <v>36</v>
      </c>
      <c r="C9" s="31" t="s">
        <v>160</v>
      </c>
      <c r="D9" s="275">
        <f>(10.5+2.9)*1.5*3</f>
        <v>60.300000000000004</v>
      </c>
      <c r="E9" s="8"/>
      <c r="F9" s="8">
        <f t="shared" si="0"/>
        <v>0</v>
      </c>
    </row>
    <row r="10" spans="1:6" s="138" customFormat="1" ht="18" x14ac:dyDescent="0.25">
      <c r="A10" s="4" t="s">
        <v>37</v>
      </c>
      <c r="B10" s="2" t="s">
        <v>38</v>
      </c>
      <c r="C10" s="31" t="s">
        <v>160</v>
      </c>
      <c r="D10" s="274">
        <f>D7+D8-D9</f>
        <v>256.08</v>
      </c>
      <c r="E10" s="8"/>
      <c r="F10" s="8">
        <f t="shared" si="0"/>
        <v>0</v>
      </c>
    </row>
    <row r="11" spans="1:6" s="138" customFormat="1" ht="45" x14ac:dyDescent="0.25">
      <c r="A11" s="4" t="s">
        <v>39</v>
      </c>
      <c r="B11" s="2" t="s">
        <v>40</v>
      </c>
      <c r="C11" s="31" t="s">
        <v>160</v>
      </c>
      <c r="D11" s="274">
        <f>(10.1+2.5)*2*0.4*0.05</f>
        <v>0.504</v>
      </c>
      <c r="E11" s="8"/>
      <c r="F11" s="8">
        <f t="shared" si="0"/>
        <v>0</v>
      </c>
    </row>
    <row r="12" spans="1:6" s="138" customFormat="1" ht="45" x14ac:dyDescent="0.25">
      <c r="A12" s="4" t="s">
        <v>41</v>
      </c>
      <c r="B12" s="2" t="s">
        <v>42</v>
      </c>
      <c r="C12" s="3" t="s">
        <v>43</v>
      </c>
      <c r="D12" s="274">
        <f>(10.1+2.5)*2*0.4*3</f>
        <v>30.240000000000002</v>
      </c>
      <c r="E12" s="8"/>
      <c r="F12" s="8">
        <f t="shared" si="0"/>
        <v>0</v>
      </c>
    </row>
    <row r="13" spans="1:6" s="138" customFormat="1" ht="15" x14ac:dyDescent="0.25">
      <c r="A13" s="4" t="s">
        <v>44</v>
      </c>
      <c r="B13" s="2" t="s">
        <v>45</v>
      </c>
      <c r="C13" s="3" t="s">
        <v>43</v>
      </c>
      <c r="D13" s="274">
        <f>(10.1+2.5)*2*0.4*0.05</f>
        <v>0.504</v>
      </c>
      <c r="E13" s="8"/>
      <c r="F13" s="8">
        <f t="shared" si="0"/>
        <v>0</v>
      </c>
    </row>
    <row r="14" spans="1:6" ht="15" x14ac:dyDescent="0.25">
      <c r="A14" s="4" t="s">
        <v>46</v>
      </c>
      <c r="B14" s="2" t="s">
        <v>47</v>
      </c>
      <c r="C14" s="3" t="s">
        <v>43</v>
      </c>
      <c r="D14" s="274">
        <f>(10.1+2.5)*2*0.2*0.25*3</f>
        <v>3.7800000000000002</v>
      </c>
      <c r="E14" s="8"/>
      <c r="F14" s="8">
        <f t="shared" si="0"/>
        <v>0</v>
      </c>
    </row>
    <row r="15" spans="1:6" s="138" customFormat="1" ht="30" x14ac:dyDescent="0.25">
      <c r="A15" s="4" t="s">
        <v>48</v>
      </c>
      <c r="B15" s="2" t="s">
        <v>49</v>
      </c>
      <c r="C15" s="3" t="s">
        <v>50</v>
      </c>
      <c r="D15" s="274">
        <f>(9.7+2.1)*2*3</f>
        <v>70.8</v>
      </c>
      <c r="E15" s="8"/>
      <c r="F15" s="8">
        <f t="shared" si="0"/>
        <v>0</v>
      </c>
    </row>
    <row r="16" spans="1:6" ht="30" x14ac:dyDescent="0.25">
      <c r="A16" s="4" t="s">
        <v>51</v>
      </c>
      <c r="B16" s="2" t="s">
        <v>52</v>
      </c>
      <c r="C16" s="3" t="s">
        <v>43</v>
      </c>
      <c r="D16" s="274">
        <f>9.7*2.1*0.3</f>
        <v>6.1109999999999998</v>
      </c>
      <c r="E16" s="8"/>
      <c r="F16" s="8">
        <f t="shared" si="0"/>
        <v>0</v>
      </c>
    </row>
    <row r="17" spans="1:6" s="138" customFormat="1" ht="45" x14ac:dyDescent="0.25">
      <c r="A17" s="4" t="s">
        <v>53</v>
      </c>
      <c r="B17" s="2" t="s">
        <v>54</v>
      </c>
      <c r="C17" s="3" t="s">
        <v>55</v>
      </c>
      <c r="D17" s="274">
        <v>1</v>
      </c>
      <c r="E17" s="8"/>
      <c r="F17" s="8">
        <f t="shared" si="0"/>
        <v>0</v>
      </c>
    </row>
    <row r="18" spans="1:6" s="138" customFormat="1" ht="30" x14ac:dyDescent="0.25">
      <c r="A18" s="4" t="s">
        <v>56</v>
      </c>
      <c r="B18" s="2" t="s">
        <v>57</v>
      </c>
      <c r="C18" s="3" t="s">
        <v>43</v>
      </c>
      <c r="D18" s="274">
        <f>10.7*8*0.15-D19</f>
        <v>12.704999999999998</v>
      </c>
      <c r="E18" s="8"/>
      <c r="F18" s="8">
        <f t="shared" si="0"/>
        <v>0</v>
      </c>
    </row>
    <row r="19" spans="1:6" s="138" customFormat="1" ht="30" x14ac:dyDescent="0.25">
      <c r="A19" s="4" t="s">
        <v>58</v>
      </c>
      <c r="B19" s="2" t="s">
        <v>59</v>
      </c>
      <c r="C19" s="3" t="s">
        <v>50</v>
      </c>
      <c r="D19" s="274">
        <f>1.5*0.6*0.15</f>
        <v>0.13499999999999998</v>
      </c>
      <c r="E19" s="8"/>
      <c r="F19" s="8">
        <f t="shared" si="0"/>
        <v>0</v>
      </c>
    </row>
    <row r="20" spans="1:6" ht="15" x14ac:dyDescent="0.25">
      <c r="A20" s="4" t="s">
        <v>60</v>
      </c>
      <c r="B20" s="2" t="s">
        <v>61</v>
      </c>
      <c r="C20" s="3" t="s">
        <v>62</v>
      </c>
      <c r="D20" s="274">
        <f>7.3*5-2.4+1.1*10+6+6-0.9</f>
        <v>56.2</v>
      </c>
      <c r="E20" s="8"/>
      <c r="F20" s="8">
        <f t="shared" si="0"/>
        <v>0</v>
      </c>
    </row>
    <row r="21" spans="1:6" s="138" customFormat="1" ht="30" x14ac:dyDescent="0.25">
      <c r="A21" s="4" t="s">
        <v>124</v>
      </c>
      <c r="B21" s="2" t="s">
        <v>119</v>
      </c>
      <c r="C21" s="3" t="s">
        <v>43</v>
      </c>
      <c r="D21" s="274">
        <f>0.2*0.2*3.4*6</f>
        <v>0.81600000000000006</v>
      </c>
      <c r="E21" s="8"/>
      <c r="F21" s="8">
        <f t="shared" si="0"/>
        <v>0</v>
      </c>
    </row>
    <row r="22" spans="1:6" s="138" customFormat="1" ht="30" x14ac:dyDescent="0.25">
      <c r="A22" s="4" t="s">
        <v>125</v>
      </c>
      <c r="B22" s="2" t="s">
        <v>121</v>
      </c>
      <c r="C22" s="3" t="s">
        <v>43</v>
      </c>
      <c r="D22" s="276">
        <f>(7.3*4+6)*0.2*0.2</f>
        <v>1.4080000000000004</v>
      </c>
      <c r="E22" s="8"/>
      <c r="F22" s="8">
        <f t="shared" si="0"/>
        <v>0</v>
      </c>
    </row>
    <row r="23" spans="1:6" s="138" customFormat="1" ht="30" x14ac:dyDescent="0.25">
      <c r="A23" s="4" t="s">
        <v>63</v>
      </c>
      <c r="B23" s="2" t="s">
        <v>64</v>
      </c>
      <c r="C23" s="3" t="s">
        <v>50</v>
      </c>
      <c r="D23" s="276">
        <f>(7.3*4+4)*3.4-1.2*3.4*3</f>
        <v>100.64000000000001</v>
      </c>
      <c r="E23" s="8"/>
      <c r="F23" s="8">
        <f t="shared" si="0"/>
        <v>0</v>
      </c>
    </row>
    <row r="24" spans="1:6" s="138" customFormat="1" ht="30" x14ac:dyDescent="0.25">
      <c r="A24" s="4" t="s">
        <v>127</v>
      </c>
      <c r="B24" s="2" t="s">
        <v>123</v>
      </c>
      <c r="C24" s="3" t="s">
        <v>50</v>
      </c>
      <c r="D24" s="274">
        <f>(7.3*3+1.1*10+6+2.1)*2.1-0.8*2.1*12</f>
        <v>65.94</v>
      </c>
      <c r="E24" s="8"/>
      <c r="F24" s="8">
        <f t="shared" si="0"/>
        <v>0</v>
      </c>
    </row>
    <row r="25" spans="1:6" ht="15" x14ac:dyDescent="0.25">
      <c r="A25" s="4" t="s">
        <v>65</v>
      </c>
      <c r="B25" s="2" t="s">
        <v>66</v>
      </c>
      <c r="C25" s="3" t="s">
        <v>67</v>
      </c>
      <c r="D25" s="274">
        <v>7</v>
      </c>
      <c r="E25" s="8"/>
      <c r="F25" s="8">
        <f t="shared" si="0"/>
        <v>0</v>
      </c>
    </row>
    <row r="26" spans="1:6" s="138" customFormat="1" ht="15" x14ac:dyDescent="0.25">
      <c r="A26" s="4" t="s">
        <v>68</v>
      </c>
      <c r="B26" s="2" t="s">
        <v>69</v>
      </c>
      <c r="C26" s="3" t="s">
        <v>70</v>
      </c>
      <c r="D26" s="276">
        <f>95.87*1.3</f>
        <v>124.63100000000001</v>
      </c>
      <c r="E26" s="8"/>
      <c r="F26" s="8">
        <f t="shared" si="0"/>
        <v>0</v>
      </c>
    </row>
    <row r="27" spans="1:6" s="138" customFormat="1" ht="30" x14ac:dyDescent="0.25">
      <c r="A27" s="4" t="s">
        <v>71</v>
      </c>
      <c r="B27" s="2" t="s">
        <v>126</v>
      </c>
      <c r="C27" s="3" t="s">
        <v>50</v>
      </c>
      <c r="D27" s="274">
        <f>10.7*8*1.15</f>
        <v>98.439999999999984</v>
      </c>
      <c r="E27" s="8"/>
      <c r="F27" s="8">
        <f t="shared" si="0"/>
        <v>0</v>
      </c>
    </row>
    <row r="28" spans="1:6" s="138" customFormat="1" ht="15" x14ac:dyDescent="0.25">
      <c r="A28" s="4" t="s">
        <v>73</v>
      </c>
      <c r="B28" s="2" t="s">
        <v>74</v>
      </c>
      <c r="C28" s="3" t="s">
        <v>70</v>
      </c>
      <c r="D28" s="274">
        <v>10.7</v>
      </c>
      <c r="E28" s="8"/>
      <c r="F28" s="8">
        <f t="shared" si="0"/>
        <v>0</v>
      </c>
    </row>
    <row r="29" spans="1:6" ht="15" x14ac:dyDescent="0.25">
      <c r="A29" s="4" t="s">
        <v>75</v>
      </c>
      <c r="B29" s="2" t="s">
        <v>76</v>
      </c>
      <c r="C29" s="3" t="s">
        <v>70</v>
      </c>
      <c r="D29" s="274">
        <f>10.7+16</f>
        <v>26.7</v>
      </c>
      <c r="E29" s="8"/>
      <c r="F29" s="8">
        <f t="shared" si="0"/>
        <v>0</v>
      </c>
    </row>
    <row r="30" spans="1:6" s="138" customFormat="1" ht="45" x14ac:dyDescent="0.25">
      <c r="A30" s="4" t="s">
        <v>77</v>
      </c>
      <c r="B30" s="2" t="s">
        <v>78</v>
      </c>
      <c r="C30" s="3" t="s">
        <v>79</v>
      </c>
      <c r="D30" s="1">
        <v>1</v>
      </c>
      <c r="E30" s="8"/>
      <c r="F30" s="8">
        <f t="shared" si="0"/>
        <v>0</v>
      </c>
    </row>
    <row r="31" spans="1:6" s="138" customFormat="1" ht="45" x14ac:dyDescent="0.25">
      <c r="A31" s="4" t="s">
        <v>80</v>
      </c>
      <c r="B31" s="2" t="s">
        <v>81</v>
      </c>
      <c r="C31" s="3" t="s">
        <v>50</v>
      </c>
      <c r="D31" s="274">
        <f>D24*2+D23</f>
        <v>232.52</v>
      </c>
      <c r="E31" s="8"/>
      <c r="F31" s="8">
        <f t="shared" si="0"/>
        <v>0</v>
      </c>
    </row>
    <row r="32" spans="1:6" ht="30" x14ac:dyDescent="0.25">
      <c r="A32" s="4" t="s">
        <v>82</v>
      </c>
      <c r="B32" s="2" t="s">
        <v>83</v>
      </c>
      <c r="C32" s="3" t="s">
        <v>50</v>
      </c>
      <c r="D32" s="274">
        <f>D23</f>
        <v>100.64000000000001</v>
      </c>
      <c r="E32" s="8"/>
      <c r="F32" s="8">
        <f t="shared" si="0"/>
        <v>0</v>
      </c>
    </row>
    <row r="33" spans="1:6" s="138" customFormat="1" ht="30" x14ac:dyDescent="0.25">
      <c r="A33" s="4" t="s">
        <v>84</v>
      </c>
      <c r="B33" s="2" t="s">
        <v>85</v>
      </c>
      <c r="C33" s="3" t="s">
        <v>26</v>
      </c>
      <c r="D33" s="274">
        <v>1</v>
      </c>
      <c r="E33" s="8"/>
      <c r="F33" s="8">
        <f t="shared" si="0"/>
        <v>0</v>
      </c>
    </row>
    <row r="34" spans="1:6" s="140" customFormat="1" ht="45" x14ac:dyDescent="0.25">
      <c r="A34" s="26" t="s">
        <v>130</v>
      </c>
      <c r="B34" s="5" t="s">
        <v>87</v>
      </c>
      <c r="C34" s="6" t="s">
        <v>88</v>
      </c>
      <c r="D34" s="274">
        <v>1</v>
      </c>
      <c r="E34" s="9"/>
      <c r="F34" s="9">
        <f t="shared" si="0"/>
        <v>0</v>
      </c>
    </row>
    <row r="35" spans="1:6" ht="15" x14ac:dyDescent="0.25">
      <c r="A35" s="4" t="s">
        <v>86</v>
      </c>
      <c r="B35" s="2" t="s">
        <v>90</v>
      </c>
      <c r="C35" s="3" t="s">
        <v>70</v>
      </c>
      <c r="D35" s="274">
        <f>7.3*5</f>
        <v>36.5</v>
      </c>
      <c r="E35" s="8"/>
      <c r="F35" s="8">
        <f t="shared" si="0"/>
        <v>0</v>
      </c>
    </row>
    <row r="36" spans="1:6" ht="30" x14ac:dyDescent="0.25">
      <c r="A36" s="4" t="s">
        <v>89</v>
      </c>
      <c r="B36" s="2" t="s">
        <v>92</v>
      </c>
      <c r="C36" s="3" t="s">
        <v>43</v>
      </c>
      <c r="D36" s="274">
        <f>8*10.7*0.05</f>
        <v>4.28</v>
      </c>
      <c r="E36" s="8"/>
      <c r="F36" s="8">
        <f t="shared" si="0"/>
        <v>0</v>
      </c>
    </row>
    <row r="37" spans="1:6" ht="15" x14ac:dyDescent="0.25">
      <c r="A37" s="4" t="s">
        <v>91</v>
      </c>
      <c r="B37" s="2" t="s">
        <v>94</v>
      </c>
      <c r="C37" s="3" t="s">
        <v>50</v>
      </c>
      <c r="D37" s="274">
        <f>9.9*7.3-5.2*2.2</f>
        <v>60.83</v>
      </c>
      <c r="E37" s="8"/>
      <c r="F37" s="8">
        <f t="shared" si="0"/>
        <v>0</v>
      </c>
    </row>
    <row r="38" spans="1:6" ht="15" x14ac:dyDescent="0.25">
      <c r="A38" s="4" t="s">
        <v>93</v>
      </c>
      <c r="B38" s="2" t="s">
        <v>96</v>
      </c>
      <c r="C38" s="3" t="s">
        <v>50</v>
      </c>
      <c r="D38" s="274">
        <f>8*10.7-D37</f>
        <v>24.769999999999996</v>
      </c>
      <c r="E38" s="8"/>
      <c r="F38" s="8">
        <f t="shared" si="0"/>
        <v>0</v>
      </c>
    </row>
    <row r="39" spans="1:6" s="138" customFormat="1" ht="45" x14ac:dyDescent="0.25">
      <c r="A39" s="4" t="s">
        <v>95</v>
      </c>
      <c r="B39" s="2" t="s">
        <v>129</v>
      </c>
      <c r="C39" s="3" t="s">
        <v>88</v>
      </c>
      <c r="D39" s="274">
        <v>12</v>
      </c>
      <c r="E39" s="8"/>
      <c r="F39" s="8">
        <f t="shared" si="0"/>
        <v>0</v>
      </c>
    </row>
    <row r="40" spans="1:6" s="140" customFormat="1" ht="30" x14ac:dyDescent="0.25">
      <c r="A40" s="26" t="s">
        <v>135</v>
      </c>
      <c r="B40" s="2" t="s">
        <v>131</v>
      </c>
      <c r="C40" s="6" t="s">
        <v>88</v>
      </c>
      <c r="D40" s="274">
        <v>13</v>
      </c>
      <c r="E40" s="9"/>
      <c r="F40" s="9">
        <f t="shared" si="0"/>
        <v>0</v>
      </c>
    </row>
    <row r="41" spans="1:6" s="140" customFormat="1" ht="15" x14ac:dyDescent="0.25">
      <c r="A41" s="4" t="s">
        <v>97</v>
      </c>
      <c r="B41" s="5" t="s">
        <v>132</v>
      </c>
      <c r="C41" s="6" t="s">
        <v>88</v>
      </c>
      <c r="D41" s="274">
        <v>3</v>
      </c>
      <c r="E41" s="9"/>
      <c r="F41" s="9">
        <f t="shared" si="0"/>
        <v>0</v>
      </c>
    </row>
    <row r="42" spans="1:6" s="140" customFormat="1" ht="45" x14ac:dyDescent="0.25">
      <c r="A42" s="26" t="s">
        <v>99</v>
      </c>
      <c r="B42" s="5" t="s">
        <v>98</v>
      </c>
      <c r="C42" s="6" t="s">
        <v>88</v>
      </c>
      <c r="D42" s="274">
        <v>1</v>
      </c>
      <c r="E42" s="9"/>
      <c r="F42" s="9">
        <f t="shared" si="0"/>
        <v>0</v>
      </c>
    </row>
    <row r="43" spans="1:6" s="140" customFormat="1" ht="30" x14ac:dyDescent="0.25">
      <c r="A43" s="26" t="s">
        <v>101</v>
      </c>
      <c r="B43" s="5" t="s">
        <v>100</v>
      </c>
      <c r="C43" s="6" t="s">
        <v>88</v>
      </c>
      <c r="D43" s="274">
        <v>1</v>
      </c>
      <c r="E43" s="9"/>
      <c r="F43" s="9">
        <f t="shared" si="0"/>
        <v>0</v>
      </c>
    </row>
    <row r="44" spans="1:6" s="140" customFormat="1" ht="15" x14ac:dyDescent="0.25">
      <c r="A44" s="26" t="s">
        <v>103</v>
      </c>
      <c r="B44" s="5" t="s">
        <v>102</v>
      </c>
      <c r="C44" s="6" t="s">
        <v>88</v>
      </c>
      <c r="D44" s="274">
        <v>1</v>
      </c>
      <c r="E44" s="9"/>
      <c r="F44" s="9">
        <f t="shared" si="0"/>
        <v>0</v>
      </c>
    </row>
    <row r="45" spans="1:6" ht="30" x14ac:dyDescent="0.25">
      <c r="A45" s="4" t="s">
        <v>105</v>
      </c>
      <c r="B45" s="2" t="s">
        <v>104</v>
      </c>
      <c r="C45" s="3" t="s">
        <v>50</v>
      </c>
      <c r="D45" s="274">
        <f>1.1*4*0.6</f>
        <v>2.64</v>
      </c>
      <c r="E45" s="8"/>
      <c r="F45" s="8">
        <f t="shared" si="0"/>
        <v>0</v>
      </c>
    </row>
    <row r="46" spans="1:6" s="142" customFormat="1" ht="15" x14ac:dyDescent="0.25">
      <c r="A46" s="26" t="s">
        <v>107</v>
      </c>
      <c r="B46" s="5" t="s">
        <v>106</v>
      </c>
      <c r="C46" s="6" t="s">
        <v>26</v>
      </c>
      <c r="D46" s="274">
        <v>1</v>
      </c>
      <c r="E46" s="9"/>
      <c r="F46" s="7">
        <f t="shared" si="0"/>
        <v>0</v>
      </c>
    </row>
    <row r="47" spans="1:6" ht="30" x14ac:dyDescent="0.25">
      <c r="A47" s="4" t="s">
        <v>161</v>
      </c>
      <c r="B47" s="2" t="s">
        <v>108</v>
      </c>
      <c r="C47" s="3" t="s">
        <v>50</v>
      </c>
      <c r="D47" s="274">
        <f>D31</f>
        <v>232.52</v>
      </c>
      <c r="E47" s="8"/>
      <c r="F47" s="7">
        <f t="shared" si="0"/>
        <v>0</v>
      </c>
    </row>
    <row r="48" spans="1:6" s="138" customFormat="1" ht="60" x14ac:dyDescent="0.25">
      <c r="A48" s="26" t="s">
        <v>109</v>
      </c>
      <c r="B48" s="2" t="s">
        <v>133</v>
      </c>
      <c r="C48" s="3" t="s">
        <v>55</v>
      </c>
      <c r="D48" s="274">
        <v>12</v>
      </c>
      <c r="E48" s="8"/>
      <c r="F48" s="8">
        <f t="shared" si="0"/>
        <v>0</v>
      </c>
    </row>
    <row r="49" spans="1:6" s="140" customFormat="1" ht="60" x14ac:dyDescent="0.25">
      <c r="A49" s="26" t="s">
        <v>187</v>
      </c>
      <c r="B49" s="5" t="s">
        <v>110</v>
      </c>
      <c r="C49" s="6" t="s">
        <v>88</v>
      </c>
      <c r="D49" s="274">
        <v>1</v>
      </c>
      <c r="E49" s="9"/>
      <c r="F49" s="9">
        <f t="shared" si="0"/>
        <v>0</v>
      </c>
    </row>
    <row r="50" spans="1:6" s="138" customFormat="1" ht="30" x14ac:dyDescent="0.25">
      <c r="A50" s="26" t="s">
        <v>162</v>
      </c>
      <c r="B50" s="2" t="s">
        <v>134</v>
      </c>
      <c r="C50" s="3" t="s">
        <v>43</v>
      </c>
      <c r="D50" s="274">
        <f>1.1*4*0.6*0.1</f>
        <v>0.26400000000000001</v>
      </c>
      <c r="E50" s="8"/>
      <c r="F50" s="8">
        <f t="shared" si="0"/>
        <v>0</v>
      </c>
    </row>
    <row r="51" spans="1:6" ht="30" x14ac:dyDescent="0.25">
      <c r="A51" s="4" t="s">
        <v>163</v>
      </c>
      <c r="B51" s="2" t="s">
        <v>136</v>
      </c>
      <c r="C51" s="3" t="s">
        <v>70</v>
      </c>
      <c r="D51" s="274">
        <v>30</v>
      </c>
      <c r="E51" s="8"/>
      <c r="F51" s="8">
        <f t="shared" si="0"/>
        <v>0</v>
      </c>
    </row>
    <row r="52" spans="1:6" ht="75" x14ac:dyDescent="0.25">
      <c r="A52" s="26" t="s">
        <v>164</v>
      </c>
      <c r="B52" s="2" t="s">
        <v>137</v>
      </c>
      <c r="C52" s="3" t="s">
        <v>70</v>
      </c>
      <c r="D52" s="274">
        <v>20</v>
      </c>
      <c r="E52" s="8"/>
      <c r="F52" s="8">
        <f t="shared" si="0"/>
        <v>0</v>
      </c>
    </row>
    <row r="53" spans="1:6" s="140" customFormat="1" ht="30" x14ac:dyDescent="0.25">
      <c r="A53" s="4" t="s">
        <v>111</v>
      </c>
      <c r="B53" s="5" t="s">
        <v>138</v>
      </c>
      <c r="C53" s="6" t="s">
        <v>55</v>
      </c>
      <c r="D53" s="274">
        <v>4</v>
      </c>
      <c r="E53" s="9"/>
      <c r="F53" s="9">
        <f t="shared" si="0"/>
        <v>0</v>
      </c>
    </row>
    <row r="54" spans="1:6" ht="30" x14ac:dyDescent="0.25">
      <c r="A54" s="26" t="s">
        <v>165</v>
      </c>
      <c r="B54" s="2" t="s">
        <v>112</v>
      </c>
      <c r="C54" s="3" t="s">
        <v>43</v>
      </c>
      <c r="D54" s="274">
        <f>4*2.9*0.1</f>
        <v>1.1599999999999999</v>
      </c>
      <c r="E54" s="8"/>
      <c r="F54" s="8">
        <f t="shared" si="0"/>
        <v>0</v>
      </c>
    </row>
    <row r="55" spans="1:6" s="142" customFormat="1" ht="15" x14ac:dyDescent="0.25">
      <c r="A55" s="26" t="s">
        <v>166</v>
      </c>
      <c r="B55" s="37" t="s">
        <v>139</v>
      </c>
      <c r="C55" s="38" t="s">
        <v>43</v>
      </c>
      <c r="D55" s="277">
        <v>10.8</v>
      </c>
      <c r="E55" s="39"/>
      <c r="F55" s="48">
        <f t="shared" si="0"/>
        <v>0</v>
      </c>
    </row>
    <row r="56" spans="1:6" ht="15" x14ac:dyDescent="0.25">
      <c r="A56" s="19"/>
      <c r="B56" s="15" t="s">
        <v>113</v>
      </c>
      <c r="C56" s="16"/>
      <c r="D56" s="278"/>
      <c r="E56" s="17"/>
      <c r="F56" s="18">
        <f>SUM(F5:F55)</f>
        <v>0</v>
      </c>
    </row>
    <row r="57" spans="1:6" s="138" customFormat="1" ht="18.75" x14ac:dyDescent="0.25">
      <c r="A57" s="22"/>
      <c r="B57" s="2" t="s">
        <v>208</v>
      </c>
      <c r="C57" s="23"/>
      <c r="D57" s="279"/>
      <c r="E57" s="23"/>
      <c r="F57" s="24"/>
    </row>
    <row r="58" spans="1:6" s="138" customFormat="1" ht="15" x14ac:dyDescent="0.25">
      <c r="A58" s="147">
        <v>60</v>
      </c>
      <c r="B58" s="148" t="s">
        <v>141</v>
      </c>
      <c r="C58" s="149" t="s">
        <v>50</v>
      </c>
      <c r="D58" s="280">
        <v>4.1500000000000004</v>
      </c>
      <c r="E58" s="149"/>
      <c r="F58" s="48">
        <f t="shared" ref="F58:F72" si="1">D58*E58</f>
        <v>0</v>
      </c>
    </row>
    <row r="59" spans="1:6" s="138" customFormat="1" ht="30" x14ac:dyDescent="0.25">
      <c r="A59" s="147">
        <v>61</v>
      </c>
      <c r="B59" s="150" t="s">
        <v>142</v>
      </c>
      <c r="C59" s="151" t="s">
        <v>43</v>
      </c>
      <c r="D59" s="281">
        <v>3.01</v>
      </c>
      <c r="E59" s="152"/>
      <c r="F59" s="48">
        <f t="shared" si="1"/>
        <v>0</v>
      </c>
    </row>
    <row r="60" spans="1:6" ht="30" x14ac:dyDescent="0.25">
      <c r="A60" s="147">
        <v>62</v>
      </c>
      <c r="B60" s="150" t="s">
        <v>143</v>
      </c>
      <c r="C60" s="151" t="s">
        <v>50</v>
      </c>
      <c r="D60" s="281">
        <v>2.54</v>
      </c>
      <c r="E60" s="151"/>
      <c r="F60" s="48">
        <f t="shared" si="1"/>
        <v>0</v>
      </c>
    </row>
    <row r="61" spans="1:6" ht="30" x14ac:dyDescent="0.25">
      <c r="A61" s="147">
        <v>63</v>
      </c>
      <c r="B61" s="150" t="s">
        <v>144</v>
      </c>
      <c r="C61" s="151" t="s">
        <v>145</v>
      </c>
      <c r="D61" s="281">
        <v>1</v>
      </c>
      <c r="E61" s="152"/>
      <c r="F61" s="48">
        <f t="shared" si="1"/>
        <v>0</v>
      </c>
    </row>
    <row r="62" spans="1:6" ht="45" x14ac:dyDescent="0.25">
      <c r="A62" s="147">
        <v>64</v>
      </c>
      <c r="B62" s="150" t="s">
        <v>146</v>
      </c>
      <c r="C62" s="151" t="s">
        <v>43</v>
      </c>
      <c r="D62" s="281">
        <v>0.2</v>
      </c>
      <c r="E62" s="152"/>
      <c r="F62" s="48">
        <f t="shared" si="1"/>
        <v>0</v>
      </c>
    </row>
    <row r="63" spans="1:6" ht="30" x14ac:dyDescent="0.25">
      <c r="A63" s="147">
        <v>65</v>
      </c>
      <c r="B63" s="150" t="s">
        <v>147</v>
      </c>
      <c r="C63" s="151" t="s">
        <v>50</v>
      </c>
      <c r="D63" s="281">
        <v>2</v>
      </c>
      <c r="E63" s="151"/>
      <c r="F63" s="48">
        <f t="shared" si="1"/>
        <v>0</v>
      </c>
    </row>
    <row r="64" spans="1:6" s="138" customFormat="1" ht="30" x14ac:dyDescent="0.25">
      <c r="A64" s="147">
        <v>66</v>
      </c>
      <c r="B64" s="150" t="s">
        <v>148</v>
      </c>
      <c r="C64" s="151" t="s">
        <v>50</v>
      </c>
      <c r="D64" s="281">
        <v>5.0199999999999996</v>
      </c>
      <c r="E64" s="151"/>
      <c r="F64" s="48">
        <f t="shared" si="1"/>
        <v>0</v>
      </c>
    </row>
    <row r="65" spans="1:6" s="138" customFormat="1" ht="30" x14ac:dyDescent="0.25">
      <c r="A65" s="147">
        <v>67</v>
      </c>
      <c r="B65" s="150" t="s">
        <v>149</v>
      </c>
      <c r="C65" s="151" t="s">
        <v>70</v>
      </c>
      <c r="D65" s="281">
        <v>6</v>
      </c>
      <c r="E65" s="151"/>
      <c r="F65" s="48">
        <f t="shared" si="1"/>
        <v>0</v>
      </c>
    </row>
    <row r="66" spans="1:6" s="138" customFormat="1" ht="30" x14ac:dyDescent="0.25">
      <c r="A66" s="147">
        <v>68</v>
      </c>
      <c r="B66" s="150" t="s">
        <v>150</v>
      </c>
      <c r="C66" s="151" t="s">
        <v>88</v>
      </c>
      <c r="D66" s="281">
        <v>1</v>
      </c>
      <c r="E66" s="151"/>
      <c r="F66" s="48">
        <f t="shared" si="1"/>
        <v>0</v>
      </c>
    </row>
    <row r="67" spans="1:6" s="138" customFormat="1" ht="30" x14ac:dyDescent="0.25">
      <c r="A67" s="147">
        <v>69</v>
      </c>
      <c r="B67" s="150" t="s">
        <v>151</v>
      </c>
      <c r="C67" s="151" t="s">
        <v>88</v>
      </c>
      <c r="D67" s="281">
        <v>1</v>
      </c>
      <c r="E67" s="151"/>
      <c r="F67" s="48">
        <f t="shared" si="1"/>
        <v>0</v>
      </c>
    </row>
    <row r="68" spans="1:6" s="138" customFormat="1" ht="15" x14ac:dyDescent="0.25">
      <c r="A68" s="147">
        <v>70</v>
      </c>
      <c r="B68" s="150" t="s">
        <v>152</v>
      </c>
      <c r="C68" s="151" t="s">
        <v>43</v>
      </c>
      <c r="D68" s="281">
        <v>3.93</v>
      </c>
      <c r="E68" s="151"/>
      <c r="F68" s="48">
        <f t="shared" si="1"/>
        <v>0</v>
      </c>
    </row>
    <row r="69" spans="1:6" ht="15" x14ac:dyDescent="0.25">
      <c r="A69" s="147">
        <v>71</v>
      </c>
      <c r="B69" s="150" t="s">
        <v>153</v>
      </c>
      <c r="C69" s="151" t="s">
        <v>43</v>
      </c>
      <c r="D69" s="281">
        <v>3.93</v>
      </c>
      <c r="E69" s="151"/>
      <c r="F69" s="48">
        <f t="shared" si="1"/>
        <v>0</v>
      </c>
    </row>
    <row r="70" spans="1:6" s="138" customFormat="1" ht="45" x14ac:dyDescent="0.25">
      <c r="A70" s="147">
        <v>72</v>
      </c>
      <c r="B70" s="150" t="s">
        <v>154</v>
      </c>
      <c r="C70" s="151" t="s">
        <v>43</v>
      </c>
      <c r="D70" s="281">
        <v>1.22</v>
      </c>
      <c r="E70" s="152"/>
      <c r="F70" s="48">
        <f t="shared" si="1"/>
        <v>0</v>
      </c>
    </row>
    <row r="71" spans="1:6" s="138" customFormat="1" ht="30" x14ac:dyDescent="0.25">
      <c r="A71" s="147">
        <v>73</v>
      </c>
      <c r="B71" s="150" t="s">
        <v>143</v>
      </c>
      <c r="C71" s="151" t="s">
        <v>50</v>
      </c>
      <c r="D71" s="281">
        <v>1.22</v>
      </c>
      <c r="E71" s="151"/>
      <c r="F71" s="48">
        <f t="shared" si="1"/>
        <v>0</v>
      </c>
    </row>
    <row r="72" spans="1:6" ht="60" x14ac:dyDescent="0.25">
      <c r="A72" s="147">
        <v>74</v>
      </c>
      <c r="B72" s="153" t="s">
        <v>155</v>
      </c>
      <c r="C72" s="154" t="s">
        <v>50</v>
      </c>
      <c r="D72" s="282">
        <v>130</v>
      </c>
      <c r="E72" s="154"/>
      <c r="F72" s="48">
        <f t="shared" si="1"/>
        <v>0</v>
      </c>
    </row>
    <row r="73" spans="1:6" ht="15.75" x14ac:dyDescent="0.25">
      <c r="A73" s="264"/>
      <c r="B73" s="269" t="s">
        <v>209</v>
      </c>
      <c r="C73" s="269"/>
      <c r="D73" s="283"/>
      <c r="E73" s="269"/>
      <c r="F73" s="264">
        <f>SUM(F58:F72)</f>
        <v>0</v>
      </c>
    </row>
    <row r="74" spans="1:6" ht="58.5" x14ac:dyDescent="0.25">
      <c r="A74" s="265"/>
      <c r="B74" s="266" t="s">
        <v>189</v>
      </c>
      <c r="C74" s="266"/>
      <c r="D74" s="284"/>
      <c r="E74" s="266"/>
      <c r="F74" s="49">
        <f>SUM(F73+F56)</f>
        <v>0</v>
      </c>
    </row>
    <row r="75" spans="1:6" ht="50.45" customHeight="1" x14ac:dyDescent="0.25">
      <c r="D75" s="285"/>
    </row>
  </sheetData>
  <sheetProtection algorithmName="SHA-512" hashValue="v3EPWWtC17DFbu2jtfdAs1ab8Y2WhVE4dV9Lv8ET+FYd1TwlQDmYGp7bV6HnWV9Yw7+4sEv3z/TH38Sg9syL5g==" saltValue="px9JztXXEG8lmeMk2N/9xg==" spinCount="100000" sheet="1" objects="1" scenarios="1"/>
  <mergeCells count="1">
    <mergeCell ref="B2:C2"/>
  </mergeCells>
  <pageMargins left="0.46" right="0.34" top="0.47" bottom="0.38" header="0.3" footer="0.19"/>
  <pageSetup scale="85" orientation="landscape" r:id="rId1"/>
  <headerFooter>
    <oddFooter>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5"/>
  <sheetViews>
    <sheetView topLeftCell="A43" zoomScaleNormal="100" workbookViewId="0">
      <selection activeCell="F7" sqref="F7"/>
    </sheetView>
  </sheetViews>
  <sheetFormatPr defaultRowHeight="15" x14ac:dyDescent="0.25"/>
  <cols>
    <col min="1" max="1" width="6.5703125" style="250" bestFit="1" customWidth="1"/>
    <col min="2" max="2" width="30.85546875" style="252" customWidth="1"/>
    <col min="3" max="3" width="8" style="250" bestFit="1" customWidth="1"/>
    <col min="4" max="4" width="8.42578125" style="256" bestFit="1" customWidth="1"/>
    <col min="5" max="5" width="10.7109375" style="254" bestFit="1" customWidth="1"/>
    <col min="6" max="6" width="15.42578125" style="250" customWidth="1"/>
    <col min="7" max="7" width="41.28515625" style="250" customWidth="1"/>
    <col min="8" max="16384" width="9.140625" style="250"/>
  </cols>
  <sheetData>
    <row r="1" spans="1:6" ht="15.75" customHeight="1" x14ac:dyDescent="0.25">
      <c r="A1" s="167" t="s">
        <v>210</v>
      </c>
      <c r="B1" s="168" t="s">
        <v>211</v>
      </c>
      <c r="C1" s="168"/>
      <c r="D1" s="230"/>
      <c r="E1" s="168"/>
      <c r="F1" s="255"/>
    </row>
    <row r="2" spans="1:6" ht="15.75" x14ac:dyDescent="0.25">
      <c r="A2" s="170" t="s">
        <v>212</v>
      </c>
      <c r="B2" s="171" t="s">
        <v>213</v>
      </c>
      <c r="C2" s="171" t="s">
        <v>214</v>
      </c>
      <c r="D2" s="231" t="s">
        <v>215</v>
      </c>
      <c r="E2" s="171" t="s">
        <v>216</v>
      </c>
      <c r="F2" s="171" t="s">
        <v>217</v>
      </c>
    </row>
    <row r="3" spans="1:6" ht="15.75" x14ac:dyDescent="0.25">
      <c r="A3" s="172">
        <v>0</v>
      </c>
      <c r="B3" s="173" t="s">
        <v>218</v>
      </c>
      <c r="C3" s="174" t="s">
        <v>210</v>
      </c>
      <c r="D3" s="232" t="s">
        <v>210</v>
      </c>
      <c r="E3" s="174" t="s">
        <v>210</v>
      </c>
      <c r="F3" s="174" t="s">
        <v>210</v>
      </c>
    </row>
    <row r="4" spans="1:6" ht="15.75" x14ac:dyDescent="0.25">
      <c r="A4" s="172">
        <v>0.1</v>
      </c>
      <c r="B4" s="175" t="s">
        <v>219</v>
      </c>
      <c r="C4" s="176" t="s">
        <v>220</v>
      </c>
      <c r="D4" s="233">
        <v>1</v>
      </c>
      <c r="E4" s="177"/>
      <c r="F4" s="183">
        <f>D4*E4</f>
        <v>0</v>
      </c>
    </row>
    <row r="5" spans="1:6" ht="15.75" x14ac:dyDescent="0.25">
      <c r="A5" s="178" t="s">
        <v>210</v>
      </c>
      <c r="B5" s="179" t="s">
        <v>221</v>
      </c>
      <c r="C5" s="180" t="s">
        <v>210</v>
      </c>
      <c r="D5" s="234" t="s">
        <v>210</v>
      </c>
      <c r="E5" s="180" t="s">
        <v>210</v>
      </c>
      <c r="F5" s="181">
        <f>F4</f>
        <v>0</v>
      </c>
    </row>
    <row r="6" spans="1:6" ht="47.25" x14ac:dyDescent="0.25">
      <c r="A6" s="172">
        <v>1</v>
      </c>
      <c r="B6" s="171" t="s">
        <v>222</v>
      </c>
      <c r="C6" s="176" t="s">
        <v>210</v>
      </c>
      <c r="D6" s="233" t="s">
        <v>210</v>
      </c>
      <c r="E6" s="176" t="s">
        <v>210</v>
      </c>
      <c r="F6" s="176" t="s">
        <v>210</v>
      </c>
    </row>
    <row r="7" spans="1:6" ht="49.5" x14ac:dyDescent="0.4">
      <c r="A7" s="184">
        <v>1.1000000000000001</v>
      </c>
      <c r="B7" s="175" t="s">
        <v>223</v>
      </c>
      <c r="C7" s="175" t="s">
        <v>224</v>
      </c>
      <c r="D7" s="235">
        <v>95.06</v>
      </c>
      <c r="E7" s="208"/>
      <c r="F7" s="183">
        <f>D7*E7</f>
        <v>0</v>
      </c>
    </row>
    <row r="8" spans="1:6" ht="49.5" x14ac:dyDescent="0.4">
      <c r="A8" s="184">
        <v>1.2</v>
      </c>
      <c r="B8" s="175" t="s">
        <v>225</v>
      </c>
      <c r="C8" s="175" t="s">
        <v>226</v>
      </c>
      <c r="D8" s="235">
        <v>47.53</v>
      </c>
      <c r="E8" s="185"/>
      <c r="F8" s="183">
        <f t="shared" ref="F8:F13" si="0">D8*E8</f>
        <v>0</v>
      </c>
    </row>
    <row r="9" spans="1:6" ht="33.75" x14ac:dyDescent="0.4">
      <c r="A9" s="184">
        <v>1.3</v>
      </c>
      <c r="B9" s="175" t="s">
        <v>227</v>
      </c>
      <c r="C9" s="175" t="s">
        <v>226</v>
      </c>
      <c r="D9" s="235">
        <v>17.027999999999999</v>
      </c>
      <c r="E9" s="185"/>
      <c r="F9" s="183">
        <f t="shared" si="0"/>
        <v>0</v>
      </c>
    </row>
    <row r="10" spans="1:6" ht="33.75" x14ac:dyDescent="0.4">
      <c r="A10" s="172">
        <v>1.4</v>
      </c>
      <c r="B10" s="175" t="s">
        <v>228</v>
      </c>
      <c r="C10" s="175" t="s">
        <v>226</v>
      </c>
      <c r="D10" s="235">
        <v>1.419</v>
      </c>
      <c r="E10" s="185"/>
      <c r="F10" s="183">
        <f t="shared" si="0"/>
        <v>0</v>
      </c>
    </row>
    <row r="11" spans="1:6" ht="21" x14ac:dyDescent="0.4">
      <c r="A11" s="184">
        <v>1.5</v>
      </c>
      <c r="B11" s="175" t="s">
        <v>229</v>
      </c>
      <c r="C11" s="175" t="s">
        <v>226</v>
      </c>
      <c r="D11" s="235">
        <v>11.352</v>
      </c>
      <c r="E11" s="185"/>
      <c r="F11" s="183">
        <f t="shared" si="0"/>
        <v>0</v>
      </c>
    </row>
    <row r="12" spans="1:6" ht="33.75" x14ac:dyDescent="0.4">
      <c r="A12" s="184">
        <v>1.6</v>
      </c>
      <c r="B12" s="175" t="s">
        <v>230</v>
      </c>
      <c r="C12" s="175" t="s">
        <v>226</v>
      </c>
      <c r="D12" s="235">
        <v>5.6760000000000002</v>
      </c>
      <c r="E12" s="185"/>
      <c r="F12" s="183">
        <f t="shared" si="0"/>
        <v>0</v>
      </c>
    </row>
    <row r="13" spans="1:6" ht="33.75" x14ac:dyDescent="0.4">
      <c r="A13" s="184">
        <v>1.7</v>
      </c>
      <c r="B13" s="175" t="s">
        <v>231</v>
      </c>
      <c r="C13" s="175" t="s">
        <v>232</v>
      </c>
      <c r="D13" s="235">
        <v>47.3</v>
      </c>
      <c r="E13" s="185"/>
      <c r="F13" s="183">
        <f t="shared" si="0"/>
        <v>0</v>
      </c>
    </row>
    <row r="14" spans="1:6" ht="15.75" x14ac:dyDescent="0.25">
      <c r="A14" s="178" t="s">
        <v>210</v>
      </c>
      <c r="B14" s="179" t="s">
        <v>221</v>
      </c>
      <c r="C14" s="180" t="s">
        <v>210</v>
      </c>
      <c r="D14" s="234" t="s">
        <v>210</v>
      </c>
      <c r="E14" s="180" t="s">
        <v>210</v>
      </c>
      <c r="F14" s="181">
        <f>SUM(F7:F13)</f>
        <v>0</v>
      </c>
    </row>
    <row r="15" spans="1:6" ht="15.75" x14ac:dyDescent="0.25">
      <c r="A15" s="186">
        <v>2</v>
      </c>
      <c r="B15" s="171" t="s">
        <v>233</v>
      </c>
      <c r="C15" s="187" t="s">
        <v>210</v>
      </c>
      <c r="D15" s="236" t="s">
        <v>210</v>
      </c>
      <c r="E15" s="187" t="s">
        <v>210</v>
      </c>
      <c r="F15" s="187" t="s">
        <v>210</v>
      </c>
    </row>
    <row r="16" spans="1:6" ht="49.5" x14ac:dyDescent="0.4">
      <c r="A16" s="172">
        <v>2.1</v>
      </c>
      <c r="B16" s="175" t="s">
        <v>234</v>
      </c>
      <c r="C16" s="176" t="s">
        <v>235</v>
      </c>
      <c r="D16" s="235">
        <v>22.358000000000001</v>
      </c>
      <c r="E16" s="188"/>
      <c r="F16" s="183">
        <f t="shared" ref="F16:F18" si="1">D16*E16</f>
        <v>0</v>
      </c>
    </row>
    <row r="17" spans="1:6" ht="33.75" x14ac:dyDescent="0.4">
      <c r="A17" s="172">
        <v>2.2000000000000002</v>
      </c>
      <c r="B17" s="175" t="s">
        <v>236</v>
      </c>
      <c r="C17" s="176" t="s">
        <v>67</v>
      </c>
      <c r="D17" s="233">
        <v>12</v>
      </c>
      <c r="E17" s="189"/>
      <c r="F17" s="183">
        <f>D17*E17</f>
        <v>0</v>
      </c>
    </row>
    <row r="18" spans="1:6" ht="21" x14ac:dyDescent="0.4">
      <c r="A18" s="172" t="s">
        <v>210</v>
      </c>
      <c r="B18" s="175" t="s">
        <v>237</v>
      </c>
      <c r="C18" s="176" t="s">
        <v>235</v>
      </c>
      <c r="D18" s="235">
        <v>1.8919999999999999</v>
      </c>
      <c r="E18" s="189"/>
      <c r="F18" s="183">
        <f t="shared" si="1"/>
        <v>0</v>
      </c>
    </row>
    <row r="19" spans="1:6" ht="14.25" customHeight="1" x14ac:dyDescent="0.25">
      <c r="A19" s="190" t="s">
        <v>210</v>
      </c>
      <c r="B19" s="191" t="s">
        <v>238</v>
      </c>
      <c r="C19" s="192" t="s">
        <v>210</v>
      </c>
      <c r="D19" s="237" t="s">
        <v>210</v>
      </c>
      <c r="E19" s="192"/>
      <c r="F19" s="193">
        <f>SUM(F16,F17,F18)</f>
        <v>0</v>
      </c>
    </row>
    <row r="20" spans="1:6" ht="15.75" x14ac:dyDescent="0.25">
      <c r="A20" s="194">
        <v>3</v>
      </c>
      <c r="B20" s="173" t="s">
        <v>239</v>
      </c>
      <c r="C20" s="173" t="s">
        <v>210</v>
      </c>
      <c r="D20" s="238" t="s">
        <v>210</v>
      </c>
      <c r="E20" s="173"/>
      <c r="F20" s="173" t="s">
        <v>210</v>
      </c>
    </row>
    <row r="21" spans="1:6" ht="49.5" x14ac:dyDescent="0.4">
      <c r="A21" s="184">
        <v>3.1</v>
      </c>
      <c r="B21" s="175" t="s">
        <v>240</v>
      </c>
      <c r="C21" s="175" t="s">
        <v>220</v>
      </c>
      <c r="D21" s="235">
        <v>1</v>
      </c>
      <c r="E21" s="185"/>
      <c r="F21" s="183">
        <f t="shared" ref="F21:F22" si="2">D21*E21</f>
        <v>0</v>
      </c>
    </row>
    <row r="22" spans="1:6" ht="49.5" x14ac:dyDescent="0.4">
      <c r="A22" s="184">
        <v>3.2</v>
      </c>
      <c r="B22" s="175" t="s">
        <v>241</v>
      </c>
      <c r="C22" s="175" t="s">
        <v>224</v>
      </c>
      <c r="D22" s="235">
        <v>66</v>
      </c>
      <c r="E22" s="185"/>
      <c r="F22" s="183">
        <f t="shared" si="2"/>
        <v>0</v>
      </c>
    </row>
    <row r="23" spans="1:6" ht="15.75" x14ac:dyDescent="0.25">
      <c r="A23" s="178" t="s">
        <v>210</v>
      </c>
      <c r="B23" s="179" t="s">
        <v>221</v>
      </c>
      <c r="C23" s="180" t="s">
        <v>210</v>
      </c>
      <c r="D23" s="234" t="s">
        <v>210</v>
      </c>
      <c r="E23" s="180" t="s">
        <v>210</v>
      </c>
      <c r="F23" s="181">
        <f>SUM(F21:F22)</f>
        <v>0</v>
      </c>
    </row>
    <row r="24" spans="1:6" ht="15.75" x14ac:dyDescent="0.25">
      <c r="A24" s="195">
        <v>4</v>
      </c>
      <c r="B24" s="196" t="s">
        <v>242</v>
      </c>
      <c r="C24" s="174" t="s">
        <v>210</v>
      </c>
      <c r="D24" s="232" t="s">
        <v>210</v>
      </c>
      <c r="E24" s="174" t="s">
        <v>210</v>
      </c>
      <c r="F24" s="174" t="s">
        <v>210</v>
      </c>
    </row>
    <row r="25" spans="1:6" ht="47.25" x14ac:dyDescent="0.25">
      <c r="A25" s="197">
        <v>4.0999999999999996</v>
      </c>
      <c r="B25" s="182" t="s">
        <v>243</v>
      </c>
      <c r="C25" s="175" t="s">
        <v>224</v>
      </c>
      <c r="D25" s="235">
        <v>58</v>
      </c>
      <c r="E25" s="183"/>
      <c r="F25" s="183">
        <f>D25*E25</f>
        <v>0</v>
      </c>
    </row>
    <row r="26" spans="1:6" ht="15.75" x14ac:dyDescent="0.25">
      <c r="A26" s="198" t="s">
        <v>210</v>
      </c>
      <c r="B26" s="199" t="s">
        <v>221</v>
      </c>
      <c r="C26" s="180" t="s">
        <v>210</v>
      </c>
      <c r="D26" s="234" t="s">
        <v>210</v>
      </c>
      <c r="E26" s="180" t="s">
        <v>210</v>
      </c>
      <c r="F26" s="181">
        <f>F25</f>
        <v>0</v>
      </c>
    </row>
    <row r="27" spans="1:6" ht="15.75" x14ac:dyDescent="0.25">
      <c r="A27" s="195">
        <v>5</v>
      </c>
      <c r="B27" s="196" t="s">
        <v>244</v>
      </c>
      <c r="C27" s="174" t="s">
        <v>210</v>
      </c>
      <c r="D27" s="232" t="s">
        <v>210</v>
      </c>
      <c r="E27" s="174" t="s">
        <v>210</v>
      </c>
      <c r="F27" s="174" t="s">
        <v>210</v>
      </c>
    </row>
    <row r="28" spans="1:6" ht="15.75" x14ac:dyDescent="0.25">
      <c r="A28" s="197">
        <v>5.0999999999999996</v>
      </c>
      <c r="B28" s="196" t="s">
        <v>245</v>
      </c>
      <c r="C28" s="174" t="s">
        <v>210</v>
      </c>
      <c r="D28" s="232" t="s">
        <v>210</v>
      </c>
      <c r="E28" s="174" t="s">
        <v>210</v>
      </c>
      <c r="F28" s="174" t="s">
        <v>210</v>
      </c>
    </row>
    <row r="29" spans="1:6" ht="54" customHeight="1" x14ac:dyDescent="0.25">
      <c r="A29" s="197"/>
      <c r="B29" s="200" t="s">
        <v>246</v>
      </c>
      <c r="C29" s="174" t="s">
        <v>55</v>
      </c>
      <c r="D29" s="240">
        <v>2</v>
      </c>
      <c r="E29" s="201"/>
      <c r="F29" s="183">
        <f t="shared" ref="F29:F30" si="3">D29*E29</f>
        <v>0</v>
      </c>
    </row>
    <row r="30" spans="1:6" ht="63" x14ac:dyDescent="0.25">
      <c r="A30" s="195" t="s">
        <v>210</v>
      </c>
      <c r="B30" s="182" t="s">
        <v>247</v>
      </c>
      <c r="C30" s="175" t="s">
        <v>55</v>
      </c>
      <c r="D30" s="240">
        <v>2</v>
      </c>
      <c r="E30" s="201"/>
      <c r="F30" s="183">
        <f t="shared" si="3"/>
        <v>0</v>
      </c>
    </row>
    <row r="31" spans="1:6" ht="15.75" x14ac:dyDescent="0.25">
      <c r="A31" s="195">
        <v>5.2</v>
      </c>
      <c r="B31" s="196" t="s">
        <v>248</v>
      </c>
      <c r="C31" s="174" t="s">
        <v>210</v>
      </c>
      <c r="D31" s="241" t="s">
        <v>210</v>
      </c>
      <c r="E31" s="174" t="s">
        <v>210</v>
      </c>
      <c r="F31" s="173" t="s">
        <v>210</v>
      </c>
    </row>
    <row r="32" spans="1:6" ht="47.25" x14ac:dyDescent="0.25">
      <c r="A32" s="195" t="s">
        <v>249</v>
      </c>
      <c r="B32" s="182" t="s">
        <v>250</v>
      </c>
      <c r="C32" s="175" t="s">
        <v>55</v>
      </c>
      <c r="D32" s="235">
        <v>2</v>
      </c>
      <c r="E32" s="183"/>
      <c r="F32" s="183">
        <f t="shared" ref="F32:F33" si="4">D32*E32</f>
        <v>0</v>
      </c>
    </row>
    <row r="33" spans="1:6" ht="47.25" x14ac:dyDescent="0.25">
      <c r="A33" s="195" t="s">
        <v>251</v>
      </c>
      <c r="B33" s="182" t="s">
        <v>252</v>
      </c>
      <c r="C33" s="175" t="s">
        <v>55</v>
      </c>
      <c r="D33" s="235">
        <v>4</v>
      </c>
      <c r="E33" s="183"/>
      <c r="F33" s="183">
        <f t="shared" si="4"/>
        <v>0</v>
      </c>
    </row>
    <row r="34" spans="1:6" ht="15.75" x14ac:dyDescent="0.25">
      <c r="A34" s="202" t="s">
        <v>210</v>
      </c>
      <c r="B34" s="199" t="s">
        <v>221</v>
      </c>
      <c r="C34" s="180" t="s">
        <v>210</v>
      </c>
      <c r="D34" s="234" t="s">
        <v>210</v>
      </c>
      <c r="E34" s="180" t="s">
        <v>210</v>
      </c>
      <c r="F34" s="181">
        <f>SUM(F29:F33)</f>
        <v>0</v>
      </c>
    </row>
    <row r="35" spans="1:6" ht="15.75" x14ac:dyDescent="0.25">
      <c r="A35" s="203">
        <v>6</v>
      </c>
      <c r="B35" s="196" t="s">
        <v>253</v>
      </c>
      <c r="C35" s="174" t="s">
        <v>210</v>
      </c>
      <c r="D35" s="232" t="s">
        <v>210</v>
      </c>
      <c r="E35" s="174" t="s">
        <v>210</v>
      </c>
      <c r="F35" s="174" t="s">
        <v>210</v>
      </c>
    </row>
    <row r="36" spans="1:6" ht="18.75" x14ac:dyDescent="0.25">
      <c r="A36" s="195">
        <v>6.1</v>
      </c>
      <c r="B36" s="182" t="s">
        <v>254</v>
      </c>
      <c r="C36" s="175" t="s">
        <v>224</v>
      </c>
      <c r="D36" s="235">
        <v>53</v>
      </c>
      <c r="E36" s="183"/>
      <c r="F36" s="183">
        <f t="shared" ref="F36" si="5">D36*E36</f>
        <v>0</v>
      </c>
    </row>
    <row r="37" spans="1:6" ht="15.75" x14ac:dyDescent="0.25">
      <c r="A37" s="202" t="s">
        <v>210</v>
      </c>
      <c r="B37" s="199" t="s">
        <v>221</v>
      </c>
      <c r="C37" s="180" t="s">
        <v>210</v>
      </c>
      <c r="D37" s="234" t="s">
        <v>210</v>
      </c>
      <c r="E37" s="180" t="s">
        <v>210</v>
      </c>
      <c r="F37" s="181">
        <f>F36</f>
        <v>0</v>
      </c>
    </row>
    <row r="38" spans="1:6" ht="47.25" x14ac:dyDescent="0.25">
      <c r="A38" s="195">
        <v>7</v>
      </c>
      <c r="B38" s="196" t="s">
        <v>255</v>
      </c>
      <c r="C38" s="174" t="s">
        <v>210</v>
      </c>
      <c r="D38" s="232" t="s">
        <v>210</v>
      </c>
      <c r="E38" s="174" t="s">
        <v>210</v>
      </c>
      <c r="F38" s="174" t="s">
        <v>210</v>
      </c>
    </row>
    <row r="39" spans="1:6" ht="31.5" x14ac:dyDescent="0.25">
      <c r="A39" s="195">
        <v>7.1</v>
      </c>
      <c r="B39" s="182" t="s">
        <v>256</v>
      </c>
      <c r="C39" s="175" t="s">
        <v>224</v>
      </c>
      <c r="D39" s="235">
        <v>137</v>
      </c>
      <c r="E39" s="183"/>
      <c r="F39" s="183">
        <f t="shared" ref="F39" si="6">D39*E39</f>
        <v>0</v>
      </c>
    </row>
    <row r="40" spans="1:6" ht="33" customHeight="1" x14ac:dyDescent="0.25">
      <c r="A40" s="202" t="s">
        <v>210</v>
      </c>
      <c r="B40" s="199" t="s">
        <v>221</v>
      </c>
      <c r="C40" s="180" t="s">
        <v>210</v>
      </c>
      <c r="D40" s="234" t="s">
        <v>210</v>
      </c>
      <c r="E40" s="180" t="s">
        <v>210</v>
      </c>
      <c r="F40" s="181">
        <f>F39</f>
        <v>0</v>
      </c>
    </row>
    <row r="41" spans="1:6" ht="15.75" x14ac:dyDescent="0.25">
      <c r="A41" s="203">
        <v>8</v>
      </c>
      <c r="B41" s="196" t="s">
        <v>257</v>
      </c>
      <c r="C41" s="174" t="s">
        <v>210</v>
      </c>
      <c r="D41" s="232" t="s">
        <v>210</v>
      </c>
      <c r="E41" s="174" t="s">
        <v>210</v>
      </c>
      <c r="F41" s="174" t="s">
        <v>210</v>
      </c>
    </row>
    <row r="42" spans="1:6" ht="18.75" x14ac:dyDescent="0.25">
      <c r="A42" s="195">
        <v>8.1</v>
      </c>
      <c r="B42" s="182" t="s">
        <v>258</v>
      </c>
      <c r="C42" s="175" t="s">
        <v>224</v>
      </c>
      <c r="D42" s="235">
        <v>77</v>
      </c>
      <c r="E42" s="183"/>
      <c r="F42" s="183">
        <f t="shared" ref="F42:F43" si="7">D42*E42</f>
        <v>0</v>
      </c>
    </row>
    <row r="43" spans="1:6" ht="31.5" x14ac:dyDescent="0.25">
      <c r="A43" s="195" t="s">
        <v>210</v>
      </c>
      <c r="B43" s="182" t="s">
        <v>259</v>
      </c>
      <c r="C43" s="175" t="s">
        <v>224</v>
      </c>
      <c r="D43" s="235">
        <v>60</v>
      </c>
      <c r="E43" s="183"/>
      <c r="F43" s="183">
        <f t="shared" si="7"/>
        <v>0</v>
      </c>
    </row>
    <row r="44" spans="1:6" ht="15.75" x14ac:dyDescent="0.25">
      <c r="A44" s="202" t="s">
        <v>210</v>
      </c>
      <c r="B44" s="199" t="s">
        <v>221</v>
      </c>
      <c r="C44" s="180" t="s">
        <v>210</v>
      </c>
      <c r="D44" s="234" t="s">
        <v>210</v>
      </c>
      <c r="E44" s="180" t="s">
        <v>210</v>
      </c>
      <c r="F44" s="181">
        <f>SUM(F43+F42)</f>
        <v>0</v>
      </c>
    </row>
    <row r="45" spans="1:6" ht="15.75" x14ac:dyDescent="0.25">
      <c r="A45" s="203">
        <v>9</v>
      </c>
      <c r="B45" s="196" t="s">
        <v>260</v>
      </c>
      <c r="C45" s="174" t="s">
        <v>210</v>
      </c>
      <c r="D45" s="232" t="s">
        <v>210</v>
      </c>
      <c r="E45" s="174" t="s">
        <v>210</v>
      </c>
      <c r="F45" s="174" t="s">
        <v>210</v>
      </c>
    </row>
    <row r="46" spans="1:6" ht="15.75" x14ac:dyDescent="0.25">
      <c r="A46" s="195">
        <v>9</v>
      </c>
      <c r="B46" s="196" t="s">
        <v>261</v>
      </c>
      <c r="C46" s="204" t="s">
        <v>210</v>
      </c>
      <c r="D46" s="242" t="s">
        <v>210</v>
      </c>
      <c r="E46" s="204" t="s">
        <v>210</v>
      </c>
      <c r="F46" s="204" t="s">
        <v>210</v>
      </c>
    </row>
    <row r="47" spans="1:6" ht="63" x14ac:dyDescent="0.25">
      <c r="A47" s="195">
        <v>9.1</v>
      </c>
      <c r="B47" s="182" t="s">
        <v>262</v>
      </c>
      <c r="C47" s="175" t="s">
        <v>67</v>
      </c>
      <c r="D47" s="235">
        <v>2</v>
      </c>
      <c r="E47" s="183"/>
      <c r="F47" s="183">
        <f t="shared" ref="F47:F49" si="8">D47*E47</f>
        <v>0</v>
      </c>
    </row>
    <row r="48" spans="1:6" ht="31.5" x14ac:dyDescent="0.25">
      <c r="A48" s="197">
        <v>9.1999999999999993</v>
      </c>
      <c r="B48" s="182" t="s">
        <v>263</v>
      </c>
      <c r="C48" s="204" t="s">
        <v>264</v>
      </c>
      <c r="D48" s="242">
        <v>2</v>
      </c>
      <c r="E48" s="205"/>
      <c r="F48" s="183">
        <f t="shared" si="8"/>
        <v>0</v>
      </c>
    </row>
    <row r="49" spans="1:7" ht="47.25" x14ac:dyDescent="0.25">
      <c r="A49" s="197">
        <v>9.3000000000000007</v>
      </c>
      <c r="B49" s="182" t="s">
        <v>265</v>
      </c>
      <c r="C49" s="204" t="s">
        <v>264</v>
      </c>
      <c r="D49" s="242">
        <v>2</v>
      </c>
      <c r="E49" s="205"/>
      <c r="F49" s="183">
        <f t="shared" si="8"/>
        <v>0</v>
      </c>
    </row>
    <row r="50" spans="1:7" ht="22.5" customHeight="1" x14ac:dyDescent="0.25">
      <c r="A50" s="199" t="s">
        <v>210</v>
      </c>
      <c r="B50" s="179" t="s">
        <v>221</v>
      </c>
      <c r="C50" s="179" t="s">
        <v>210</v>
      </c>
      <c r="D50" s="243" t="s">
        <v>210</v>
      </c>
      <c r="E50" s="179" t="s">
        <v>210</v>
      </c>
      <c r="F50" s="181">
        <f>SUM(F47:F49)</f>
        <v>0</v>
      </c>
      <c r="G50" s="251"/>
    </row>
    <row r="51" spans="1:7" ht="52.5" customHeight="1" x14ac:dyDescent="0.25">
      <c r="A51" s="197">
        <v>9.4</v>
      </c>
      <c r="B51" s="182" t="s">
        <v>266</v>
      </c>
      <c r="C51" s="175" t="s">
        <v>220</v>
      </c>
      <c r="D51" s="235">
        <v>1</v>
      </c>
      <c r="E51" s="183"/>
      <c r="F51" s="183">
        <f t="shared" ref="F51:F65" si="9">D51*E51</f>
        <v>0</v>
      </c>
    </row>
    <row r="52" spans="1:7" ht="78.75" x14ac:dyDescent="0.25">
      <c r="A52" s="195">
        <v>9.5</v>
      </c>
      <c r="B52" s="182" t="s">
        <v>267</v>
      </c>
      <c r="C52" s="206" t="s">
        <v>226</v>
      </c>
      <c r="D52" s="242">
        <v>6.8</v>
      </c>
      <c r="E52" s="205"/>
      <c r="F52" s="183">
        <f t="shared" si="9"/>
        <v>0</v>
      </c>
    </row>
    <row r="53" spans="1:7" ht="31.5" x14ac:dyDescent="0.25">
      <c r="A53" s="195">
        <v>9.6</v>
      </c>
      <c r="B53" s="182" t="s">
        <v>268</v>
      </c>
      <c r="C53" s="206" t="s">
        <v>224</v>
      </c>
      <c r="D53" s="242">
        <v>7.5</v>
      </c>
      <c r="E53" s="205"/>
      <c r="F53" s="183">
        <f t="shared" si="9"/>
        <v>0</v>
      </c>
    </row>
    <row r="54" spans="1:7" ht="22.5" customHeight="1" x14ac:dyDescent="0.25">
      <c r="A54" s="195">
        <v>9.6999999999999993</v>
      </c>
      <c r="B54" s="182" t="s">
        <v>269</v>
      </c>
      <c r="C54" s="206" t="s">
        <v>224</v>
      </c>
      <c r="D54" s="242">
        <v>4.5</v>
      </c>
      <c r="E54" s="205"/>
      <c r="F54" s="183">
        <f t="shared" si="9"/>
        <v>0</v>
      </c>
    </row>
    <row r="55" spans="1:7" ht="31.5" x14ac:dyDescent="0.25">
      <c r="A55" s="195">
        <v>9.8000000000000007</v>
      </c>
      <c r="B55" s="182" t="s">
        <v>270</v>
      </c>
      <c r="C55" s="204" t="s">
        <v>271</v>
      </c>
      <c r="D55" s="242">
        <v>10</v>
      </c>
      <c r="E55" s="205"/>
      <c r="F55" s="183">
        <f t="shared" si="9"/>
        <v>0</v>
      </c>
    </row>
    <row r="56" spans="1:7" ht="94.5" x14ac:dyDescent="0.25">
      <c r="A56" s="195">
        <v>9.9</v>
      </c>
      <c r="B56" s="182" t="s">
        <v>272</v>
      </c>
      <c r="C56" s="204" t="s">
        <v>55</v>
      </c>
      <c r="D56" s="242">
        <v>1</v>
      </c>
      <c r="E56" s="205"/>
      <c r="F56" s="183">
        <f t="shared" si="9"/>
        <v>0</v>
      </c>
    </row>
    <row r="57" spans="1:7" ht="31.5" x14ac:dyDescent="0.25">
      <c r="A57" s="207">
        <v>9.11</v>
      </c>
      <c r="B57" s="175" t="s">
        <v>273</v>
      </c>
      <c r="C57" s="206" t="s">
        <v>55</v>
      </c>
      <c r="D57" s="244">
        <v>2</v>
      </c>
      <c r="E57" s="205"/>
      <c r="F57" s="183">
        <f t="shared" si="9"/>
        <v>0</v>
      </c>
    </row>
    <row r="58" spans="1:7" ht="31.5" x14ac:dyDescent="0.25">
      <c r="A58" s="207">
        <v>9.1199999999999992</v>
      </c>
      <c r="B58" s="175" t="s">
        <v>274</v>
      </c>
      <c r="C58" s="206" t="s">
        <v>70</v>
      </c>
      <c r="D58" s="244">
        <v>10</v>
      </c>
      <c r="E58" s="205"/>
      <c r="F58" s="183">
        <f t="shared" si="9"/>
        <v>0</v>
      </c>
    </row>
    <row r="59" spans="1:7" ht="39" x14ac:dyDescent="0.4">
      <c r="A59" s="207">
        <v>9.1300000000000008</v>
      </c>
      <c r="B59" s="208" t="s">
        <v>275</v>
      </c>
      <c r="C59" s="206" t="s">
        <v>55</v>
      </c>
      <c r="D59" s="244">
        <v>4</v>
      </c>
      <c r="E59" s="205"/>
      <c r="F59" s="183">
        <f t="shared" si="9"/>
        <v>0</v>
      </c>
    </row>
    <row r="60" spans="1:7" ht="31.5" x14ac:dyDescent="0.25">
      <c r="A60" s="207">
        <v>9.14</v>
      </c>
      <c r="B60" s="175" t="s">
        <v>276</v>
      </c>
      <c r="C60" s="206" t="s">
        <v>55</v>
      </c>
      <c r="D60" s="244">
        <v>1</v>
      </c>
      <c r="E60" s="205"/>
      <c r="F60" s="183">
        <f t="shared" si="9"/>
        <v>0</v>
      </c>
    </row>
    <row r="61" spans="1:7" ht="31.5" x14ac:dyDescent="0.25">
      <c r="A61" s="207">
        <v>9.15</v>
      </c>
      <c r="B61" s="175" t="s">
        <v>277</v>
      </c>
      <c r="C61" s="206" t="s">
        <v>55</v>
      </c>
      <c r="D61" s="244">
        <v>2</v>
      </c>
      <c r="E61" s="205"/>
      <c r="F61" s="183">
        <f t="shared" si="9"/>
        <v>0</v>
      </c>
    </row>
    <row r="62" spans="1:7" ht="31.5" x14ac:dyDescent="0.25">
      <c r="A62" s="207">
        <v>9.16</v>
      </c>
      <c r="B62" s="175" t="s">
        <v>278</v>
      </c>
      <c r="C62" s="206" t="s">
        <v>55</v>
      </c>
      <c r="D62" s="244">
        <v>1</v>
      </c>
      <c r="E62" s="205"/>
      <c r="F62" s="183">
        <f t="shared" si="9"/>
        <v>0</v>
      </c>
    </row>
    <row r="63" spans="1:7" ht="31.5" x14ac:dyDescent="0.25">
      <c r="A63" s="207">
        <v>9.17</v>
      </c>
      <c r="B63" s="175" t="s">
        <v>279</v>
      </c>
      <c r="C63" s="206" t="s">
        <v>55</v>
      </c>
      <c r="D63" s="244">
        <v>2</v>
      </c>
      <c r="E63" s="205"/>
      <c r="F63" s="183">
        <f t="shared" si="9"/>
        <v>0</v>
      </c>
    </row>
    <row r="64" spans="1:7" ht="15.75" x14ac:dyDescent="0.25">
      <c r="A64" s="207">
        <v>9.18</v>
      </c>
      <c r="B64" s="175" t="s">
        <v>280</v>
      </c>
      <c r="C64" s="206" t="s">
        <v>55</v>
      </c>
      <c r="D64" s="244">
        <v>2</v>
      </c>
      <c r="E64" s="205"/>
      <c r="F64" s="183">
        <f t="shared" si="9"/>
        <v>0</v>
      </c>
    </row>
    <row r="65" spans="1:6" ht="15.75" x14ac:dyDescent="0.25">
      <c r="A65" s="207">
        <v>9.19</v>
      </c>
      <c r="B65" s="175" t="s">
        <v>281</v>
      </c>
      <c r="C65" s="206" t="s">
        <v>55</v>
      </c>
      <c r="D65" s="244">
        <v>2</v>
      </c>
      <c r="E65" s="205"/>
      <c r="F65" s="183">
        <f t="shared" si="9"/>
        <v>0</v>
      </c>
    </row>
    <row r="66" spans="1:6" ht="15.75" x14ac:dyDescent="0.25">
      <c r="A66" s="209" t="s">
        <v>210</v>
      </c>
      <c r="B66" s="179" t="s">
        <v>221</v>
      </c>
      <c r="C66" s="210" t="s">
        <v>210</v>
      </c>
      <c r="D66" s="245" t="s">
        <v>210</v>
      </c>
      <c r="E66" s="210"/>
      <c r="F66" s="211">
        <f>SUM(F51:F65)</f>
        <v>0</v>
      </c>
    </row>
    <row r="67" spans="1:6" ht="15.75" x14ac:dyDescent="0.25">
      <c r="A67" s="212">
        <v>10</v>
      </c>
      <c r="B67" s="213" t="s">
        <v>282</v>
      </c>
      <c r="C67" s="214" t="s">
        <v>210</v>
      </c>
      <c r="D67" s="246" t="s">
        <v>210</v>
      </c>
      <c r="E67" s="214"/>
      <c r="F67" s="215" t="s">
        <v>210</v>
      </c>
    </row>
    <row r="68" spans="1:6" ht="31.5" x14ac:dyDescent="0.25">
      <c r="A68" s="216">
        <v>10.1</v>
      </c>
      <c r="B68" s="175" t="s">
        <v>283</v>
      </c>
      <c r="C68" s="204" t="s">
        <v>55</v>
      </c>
      <c r="D68" s="242">
        <v>4</v>
      </c>
      <c r="E68" s="205"/>
      <c r="F68" s="183">
        <f t="shared" ref="F68:F82" si="10">D68*E68</f>
        <v>0</v>
      </c>
    </row>
    <row r="69" spans="1:6" ht="31.5" x14ac:dyDescent="0.25">
      <c r="A69" s="216">
        <v>10.199999999999999</v>
      </c>
      <c r="B69" s="175" t="s">
        <v>284</v>
      </c>
      <c r="C69" s="204" t="s">
        <v>55</v>
      </c>
      <c r="D69" s="242">
        <v>4</v>
      </c>
      <c r="E69" s="205"/>
      <c r="F69" s="183">
        <f t="shared" si="10"/>
        <v>0</v>
      </c>
    </row>
    <row r="70" spans="1:6" ht="15.75" x14ac:dyDescent="0.25">
      <c r="A70" s="216">
        <v>10.3</v>
      </c>
      <c r="B70" s="175" t="s">
        <v>285</v>
      </c>
      <c r="C70" s="204" t="s">
        <v>55</v>
      </c>
      <c r="D70" s="242">
        <v>4</v>
      </c>
      <c r="E70" s="205"/>
      <c r="F70" s="183">
        <f t="shared" si="10"/>
        <v>0</v>
      </c>
    </row>
    <row r="71" spans="1:6" ht="15.75" x14ac:dyDescent="0.25">
      <c r="A71" s="216">
        <v>10.4</v>
      </c>
      <c r="B71" s="175" t="s">
        <v>286</v>
      </c>
      <c r="C71" s="204" t="s">
        <v>55</v>
      </c>
      <c r="D71" s="242">
        <v>4</v>
      </c>
      <c r="E71" s="205"/>
      <c r="F71" s="183">
        <f t="shared" si="10"/>
        <v>0</v>
      </c>
    </row>
    <row r="72" spans="1:6" ht="15.75" x14ac:dyDescent="0.25">
      <c r="A72" s="216">
        <v>10.5</v>
      </c>
      <c r="B72" s="175" t="s">
        <v>287</v>
      </c>
      <c r="C72" s="204" t="s">
        <v>55</v>
      </c>
      <c r="D72" s="242">
        <v>4</v>
      </c>
      <c r="E72" s="205"/>
      <c r="F72" s="183">
        <f t="shared" si="10"/>
        <v>0</v>
      </c>
    </row>
    <row r="73" spans="1:6" ht="15.75" x14ac:dyDescent="0.25">
      <c r="A73" s="216">
        <v>10.6</v>
      </c>
      <c r="B73" s="175" t="s">
        <v>288</v>
      </c>
      <c r="C73" s="204" t="s">
        <v>88</v>
      </c>
      <c r="D73" s="242">
        <v>4</v>
      </c>
      <c r="E73" s="205"/>
      <c r="F73" s="183">
        <f t="shared" si="10"/>
        <v>0</v>
      </c>
    </row>
    <row r="74" spans="1:6" ht="15.75" x14ac:dyDescent="0.25">
      <c r="A74" s="216">
        <v>10.7</v>
      </c>
      <c r="B74" s="175" t="s">
        <v>289</v>
      </c>
      <c r="C74" s="204" t="s">
        <v>55</v>
      </c>
      <c r="D74" s="242">
        <v>2</v>
      </c>
      <c r="E74" s="205"/>
      <c r="F74" s="183">
        <f t="shared" si="10"/>
        <v>0</v>
      </c>
    </row>
    <row r="75" spans="1:6" ht="31.5" x14ac:dyDescent="0.25">
      <c r="A75" s="216">
        <v>10.8</v>
      </c>
      <c r="B75" s="175" t="s">
        <v>290</v>
      </c>
      <c r="C75" s="204" t="s">
        <v>55</v>
      </c>
      <c r="D75" s="242">
        <v>2</v>
      </c>
      <c r="E75" s="205"/>
      <c r="F75" s="183">
        <f t="shared" si="10"/>
        <v>0</v>
      </c>
    </row>
    <row r="76" spans="1:6" ht="15.75" x14ac:dyDescent="0.25">
      <c r="A76" s="216">
        <v>10.9</v>
      </c>
      <c r="B76" s="175" t="s">
        <v>291</v>
      </c>
      <c r="C76" s="204" t="s">
        <v>88</v>
      </c>
      <c r="D76" s="242">
        <v>4</v>
      </c>
      <c r="E76" s="205"/>
      <c r="F76" s="183">
        <f t="shared" si="10"/>
        <v>0</v>
      </c>
    </row>
    <row r="77" spans="1:6" ht="15.75" x14ac:dyDescent="0.25">
      <c r="A77" s="216">
        <v>10.1</v>
      </c>
      <c r="B77" s="175" t="s">
        <v>292</v>
      </c>
      <c r="C77" s="204" t="s">
        <v>55</v>
      </c>
      <c r="D77" s="233">
        <v>4</v>
      </c>
      <c r="E77" s="205"/>
      <c r="F77" s="183">
        <f t="shared" si="10"/>
        <v>0</v>
      </c>
    </row>
    <row r="78" spans="1:6" ht="15.75" x14ac:dyDescent="0.25">
      <c r="A78" s="216">
        <v>10.119999999999999</v>
      </c>
      <c r="B78" s="175" t="s">
        <v>293</v>
      </c>
      <c r="C78" s="204" t="s">
        <v>294</v>
      </c>
      <c r="D78" s="242">
        <v>5</v>
      </c>
      <c r="E78" s="205"/>
      <c r="F78" s="183">
        <f t="shared" si="10"/>
        <v>0</v>
      </c>
    </row>
    <row r="79" spans="1:6" ht="15.75" x14ac:dyDescent="0.25">
      <c r="A79" s="216">
        <v>10.130000000000001</v>
      </c>
      <c r="B79" s="175" t="s">
        <v>295</v>
      </c>
      <c r="C79" s="204" t="s">
        <v>88</v>
      </c>
      <c r="D79" s="242">
        <v>50</v>
      </c>
      <c r="E79" s="205"/>
      <c r="F79" s="183">
        <f t="shared" si="10"/>
        <v>0</v>
      </c>
    </row>
    <row r="80" spans="1:6" ht="15.75" x14ac:dyDescent="0.25">
      <c r="A80" s="216">
        <v>10.14</v>
      </c>
      <c r="B80" s="175" t="s">
        <v>296</v>
      </c>
      <c r="C80" s="204" t="s">
        <v>88</v>
      </c>
      <c r="D80" s="242">
        <v>2</v>
      </c>
      <c r="E80" s="205"/>
      <c r="F80" s="183">
        <f t="shared" si="10"/>
        <v>0</v>
      </c>
    </row>
    <row r="81" spans="1:6" ht="31.5" x14ac:dyDescent="0.25">
      <c r="A81" s="216">
        <v>10.15</v>
      </c>
      <c r="B81" s="175" t="s">
        <v>297</v>
      </c>
      <c r="C81" s="204" t="s">
        <v>88</v>
      </c>
      <c r="D81" s="242">
        <v>2</v>
      </c>
      <c r="E81" s="205"/>
      <c r="F81" s="183">
        <f t="shared" si="10"/>
        <v>0</v>
      </c>
    </row>
    <row r="82" spans="1:6" ht="31.5" x14ac:dyDescent="0.25">
      <c r="A82" s="216">
        <v>10.17</v>
      </c>
      <c r="B82" s="175" t="s">
        <v>298</v>
      </c>
      <c r="C82" s="204" t="s">
        <v>88</v>
      </c>
      <c r="D82" s="242">
        <v>2</v>
      </c>
      <c r="E82" s="205"/>
      <c r="F82" s="183">
        <f t="shared" si="10"/>
        <v>0</v>
      </c>
    </row>
    <row r="83" spans="1:6" ht="15.75" x14ac:dyDescent="0.25">
      <c r="A83" s="217" t="s">
        <v>210</v>
      </c>
      <c r="B83" s="179" t="s">
        <v>221</v>
      </c>
      <c r="C83" s="218" t="s">
        <v>210</v>
      </c>
      <c r="D83" s="247" t="s">
        <v>210</v>
      </c>
      <c r="E83" s="218"/>
      <c r="F83" s="211">
        <f>SUM(F68:F82)</f>
        <v>0</v>
      </c>
    </row>
    <row r="84" spans="1:6" ht="15.75" x14ac:dyDescent="0.25">
      <c r="A84" s="219">
        <v>11</v>
      </c>
      <c r="B84" s="173" t="s">
        <v>299</v>
      </c>
      <c r="C84" s="206" t="s">
        <v>210</v>
      </c>
      <c r="D84" s="244" t="s">
        <v>210</v>
      </c>
      <c r="E84" s="204"/>
      <c r="F84" s="220" t="s">
        <v>210</v>
      </c>
    </row>
    <row r="85" spans="1:6" ht="31.5" x14ac:dyDescent="0.25">
      <c r="A85" s="216">
        <v>12.1</v>
      </c>
      <c r="B85" s="175" t="s">
        <v>300</v>
      </c>
      <c r="C85" s="206" t="s">
        <v>301</v>
      </c>
      <c r="D85" s="244">
        <v>1</v>
      </c>
      <c r="E85" s="205"/>
      <c r="F85" s="183">
        <f t="shared" ref="F85:F89" si="11">D85*E85</f>
        <v>0</v>
      </c>
    </row>
    <row r="86" spans="1:6" ht="63" x14ac:dyDescent="0.25">
      <c r="A86" s="216">
        <v>12.2</v>
      </c>
      <c r="B86" s="175" t="s">
        <v>302</v>
      </c>
      <c r="C86" s="206" t="s">
        <v>88</v>
      </c>
      <c r="D86" s="244">
        <v>4</v>
      </c>
      <c r="E86" s="205"/>
      <c r="F86" s="183">
        <f t="shared" si="11"/>
        <v>0</v>
      </c>
    </row>
    <row r="87" spans="1:6" ht="63" x14ac:dyDescent="0.25">
      <c r="A87" s="216">
        <v>12.3</v>
      </c>
      <c r="B87" s="175" t="s">
        <v>303</v>
      </c>
      <c r="C87" s="206" t="s">
        <v>88</v>
      </c>
      <c r="D87" s="244">
        <v>4</v>
      </c>
      <c r="E87" s="205"/>
      <c r="F87" s="183">
        <f t="shared" si="11"/>
        <v>0</v>
      </c>
    </row>
    <row r="88" spans="1:6" ht="47.25" x14ac:dyDescent="0.25">
      <c r="A88" s="216">
        <v>12.4</v>
      </c>
      <c r="B88" s="175" t="s">
        <v>304</v>
      </c>
      <c r="C88" s="206" t="s">
        <v>88</v>
      </c>
      <c r="D88" s="244">
        <v>4</v>
      </c>
      <c r="E88" s="205"/>
      <c r="F88" s="183">
        <f t="shared" si="11"/>
        <v>0</v>
      </c>
    </row>
    <row r="89" spans="1:6" ht="63" x14ac:dyDescent="0.25">
      <c r="A89" s="216">
        <v>12.5</v>
      </c>
      <c r="B89" s="175" t="s">
        <v>305</v>
      </c>
      <c r="C89" s="206" t="s">
        <v>88</v>
      </c>
      <c r="D89" s="244">
        <v>4</v>
      </c>
      <c r="E89" s="205"/>
      <c r="F89" s="183">
        <f t="shared" si="11"/>
        <v>0</v>
      </c>
    </row>
    <row r="90" spans="1:6" ht="15.75" x14ac:dyDescent="0.25">
      <c r="A90" s="178" t="s">
        <v>210</v>
      </c>
      <c r="B90" s="218" t="s">
        <v>221</v>
      </c>
      <c r="C90" s="218" t="s">
        <v>210</v>
      </c>
      <c r="D90" s="247" t="s">
        <v>210</v>
      </c>
      <c r="E90" s="218"/>
      <c r="F90" s="211">
        <f>SUM(F85:F89)</f>
        <v>0</v>
      </c>
    </row>
    <row r="91" spans="1:6" ht="15.75" x14ac:dyDescent="0.25">
      <c r="A91" s="219">
        <v>13</v>
      </c>
      <c r="B91" s="175" t="s">
        <v>306</v>
      </c>
      <c r="C91" s="206" t="s">
        <v>210</v>
      </c>
      <c r="D91" s="244" t="s">
        <v>210</v>
      </c>
      <c r="E91" s="204"/>
      <c r="F91" s="221" t="s">
        <v>210</v>
      </c>
    </row>
    <row r="92" spans="1:6" ht="94.5" x14ac:dyDescent="0.25">
      <c r="A92" s="216">
        <v>13.1</v>
      </c>
      <c r="B92" s="175" t="s">
        <v>307</v>
      </c>
      <c r="C92" s="204" t="s">
        <v>26</v>
      </c>
      <c r="D92" s="242">
        <v>1</v>
      </c>
      <c r="E92" s="205"/>
      <c r="F92" s="183">
        <f t="shared" ref="F92:F96" si="12">D92*E92</f>
        <v>0</v>
      </c>
    </row>
    <row r="93" spans="1:6" ht="47.25" x14ac:dyDescent="0.25">
      <c r="A93" s="216">
        <v>13.2</v>
      </c>
      <c r="B93" s="175" t="s">
        <v>308</v>
      </c>
      <c r="C93" s="204" t="s">
        <v>43</v>
      </c>
      <c r="D93" s="242">
        <v>0.7</v>
      </c>
      <c r="E93" s="205"/>
      <c r="F93" s="183">
        <f t="shared" si="12"/>
        <v>0</v>
      </c>
    </row>
    <row r="94" spans="1:6" ht="31.5" x14ac:dyDescent="0.25">
      <c r="A94" s="216">
        <v>13.3</v>
      </c>
      <c r="B94" s="175" t="s">
        <v>309</v>
      </c>
      <c r="C94" s="204" t="s">
        <v>43</v>
      </c>
      <c r="D94" s="242">
        <v>0.1</v>
      </c>
      <c r="E94" s="177"/>
      <c r="F94" s="183">
        <f t="shared" si="12"/>
        <v>0</v>
      </c>
    </row>
    <row r="95" spans="1:6" ht="31.5" x14ac:dyDescent="0.25">
      <c r="A95" s="216">
        <v>13.4</v>
      </c>
      <c r="B95" s="175" t="s">
        <v>310</v>
      </c>
      <c r="C95" s="204" t="s">
        <v>43</v>
      </c>
      <c r="D95" s="242">
        <v>12</v>
      </c>
      <c r="E95" s="205"/>
      <c r="F95" s="183">
        <f t="shared" si="12"/>
        <v>0</v>
      </c>
    </row>
    <row r="96" spans="1:6" ht="47.25" x14ac:dyDescent="0.25">
      <c r="A96" s="216" t="s">
        <v>210</v>
      </c>
      <c r="B96" s="175" t="s">
        <v>311</v>
      </c>
      <c r="C96" s="204" t="s">
        <v>88</v>
      </c>
      <c r="D96" s="242">
        <v>1</v>
      </c>
      <c r="E96" s="205"/>
      <c r="F96" s="183">
        <f t="shared" si="12"/>
        <v>0</v>
      </c>
    </row>
    <row r="97" spans="1:6" ht="15.75" x14ac:dyDescent="0.25">
      <c r="A97" s="217" t="s">
        <v>210</v>
      </c>
      <c r="B97" s="179" t="s">
        <v>221</v>
      </c>
      <c r="C97" s="218" t="s">
        <v>210</v>
      </c>
      <c r="D97" s="247" t="s">
        <v>210</v>
      </c>
      <c r="E97" s="218"/>
      <c r="F97" s="211">
        <f>SUM(F91:F96)</f>
        <v>0</v>
      </c>
    </row>
    <row r="98" spans="1:6" ht="15.75" x14ac:dyDescent="0.25">
      <c r="A98" s="219">
        <v>14</v>
      </c>
      <c r="B98" s="173" t="s">
        <v>312</v>
      </c>
      <c r="C98" s="206" t="s">
        <v>210</v>
      </c>
      <c r="D98" s="244" t="s">
        <v>210</v>
      </c>
      <c r="E98" s="204"/>
      <c r="F98" s="220" t="s">
        <v>210</v>
      </c>
    </row>
    <row r="99" spans="1:6" ht="31.5" x14ac:dyDescent="0.25">
      <c r="A99" s="216">
        <v>14.1</v>
      </c>
      <c r="B99" s="175" t="s">
        <v>313</v>
      </c>
      <c r="C99" s="204" t="s">
        <v>220</v>
      </c>
      <c r="D99" s="235">
        <v>1</v>
      </c>
      <c r="E99" s="183"/>
      <c r="F99" s="222">
        <f>E99*D99</f>
        <v>0</v>
      </c>
    </row>
    <row r="100" spans="1:6" ht="15.75" x14ac:dyDescent="0.25">
      <c r="A100" s="217" t="s">
        <v>210</v>
      </c>
      <c r="B100" s="179" t="s">
        <v>221</v>
      </c>
      <c r="C100" s="180" t="s">
        <v>210</v>
      </c>
      <c r="D100" s="234" t="s">
        <v>210</v>
      </c>
      <c r="E100" s="180" t="s">
        <v>210</v>
      </c>
      <c r="F100" s="223">
        <f>F99</f>
        <v>0</v>
      </c>
    </row>
    <row r="101" spans="1:6" ht="39" customHeight="1" x14ac:dyDescent="0.25">
      <c r="A101" s="224" t="s">
        <v>210</v>
      </c>
      <c r="B101" s="225" t="s">
        <v>314</v>
      </c>
      <c r="C101" s="226" t="s">
        <v>210</v>
      </c>
      <c r="D101" s="248" t="s">
        <v>210</v>
      </c>
      <c r="E101" s="226" t="s">
        <v>210</v>
      </c>
      <c r="F101" s="227">
        <f>F100+F97+F90+F83+F66+F50+F44+F40+F37+F34+F26+F23+F19+F14+F5</f>
        <v>0</v>
      </c>
    </row>
    <row r="102" spans="1:6" ht="33" customHeight="1" x14ac:dyDescent="0.25">
      <c r="A102" s="224"/>
      <c r="B102" s="225" t="s">
        <v>315</v>
      </c>
      <c r="C102" s="226"/>
      <c r="D102" s="248"/>
      <c r="E102" s="226"/>
      <c r="F102" s="227">
        <f>F101*2</f>
        <v>0</v>
      </c>
    </row>
    <row r="103" spans="1:6" x14ac:dyDescent="0.25">
      <c r="A103" s="158"/>
      <c r="B103" s="228"/>
      <c r="C103" s="158"/>
      <c r="D103" s="240"/>
      <c r="E103" s="158"/>
      <c r="F103" s="158"/>
    </row>
    <row r="104" spans="1:6" x14ac:dyDescent="0.25">
      <c r="A104" s="158"/>
      <c r="B104" s="228"/>
      <c r="C104" s="158"/>
      <c r="D104" s="240"/>
      <c r="E104" s="158"/>
      <c r="F104" s="158"/>
    </row>
    <row r="105" spans="1:6" x14ac:dyDescent="0.25">
      <c r="A105" s="158"/>
      <c r="B105" s="228"/>
      <c r="C105" s="158"/>
      <c r="D105" s="240"/>
      <c r="E105" s="158"/>
      <c r="F105" s="158"/>
    </row>
  </sheetData>
  <sheetProtection algorithmName="SHA-512" hashValue="DfQU30ekonicNZ5R1RoxytZc/yNfdD7izM2FfyxVAJIapfQf37gRmWNg6wuzcZ8SCB/RFa6gvJ5ZZ+N76LpXQQ==" saltValue="pGEmVx5iKsUVKlau5G1io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5"/>
  <sheetViews>
    <sheetView topLeftCell="A66" workbookViewId="0">
      <selection activeCell="D75" sqref="D75"/>
    </sheetView>
  </sheetViews>
  <sheetFormatPr defaultColWidth="10" defaultRowHeight="18.75" x14ac:dyDescent="0.25"/>
  <cols>
    <col min="1" max="1" width="7.140625" style="169" bestFit="1" customWidth="1"/>
    <col min="2" max="2" width="27.85546875" style="229" customWidth="1"/>
    <col min="3" max="3" width="9.85546875" style="169" bestFit="1" customWidth="1"/>
    <col min="4" max="4" width="7.5703125" style="249" bestFit="1" customWidth="1"/>
    <col min="5" max="5" width="12.85546875" style="169" bestFit="1" customWidth="1"/>
    <col min="6" max="6" width="11.85546875" style="169" customWidth="1"/>
    <col min="7" max="7" width="25.5703125" style="169" customWidth="1"/>
    <col min="8" max="16384" width="10" style="169"/>
  </cols>
  <sheetData>
    <row r="1" spans="1:6" ht="15" customHeight="1" x14ac:dyDescent="0.25">
      <c r="A1" s="167" t="s">
        <v>210</v>
      </c>
      <c r="B1" s="356" t="s">
        <v>316</v>
      </c>
      <c r="C1" s="357"/>
      <c r="D1" s="230"/>
      <c r="E1" s="168"/>
      <c r="F1" s="168"/>
    </row>
    <row r="2" spans="1:6" ht="20.25" customHeight="1" x14ac:dyDescent="0.25">
      <c r="A2" s="170" t="s">
        <v>212</v>
      </c>
      <c r="B2" s="171" t="s">
        <v>213</v>
      </c>
      <c r="C2" s="171" t="s">
        <v>214</v>
      </c>
      <c r="D2" s="231" t="s">
        <v>215</v>
      </c>
      <c r="E2" s="171" t="s">
        <v>216</v>
      </c>
      <c r="F2" s="171" t="s">
        <v>217</v>
      </c>
    </row>
    <row r="3" spans="1:6" x14ac:dyDescent="0.25">
      <c r="A3" s="172">
        <v>0</v>
      </c>
      <c r="B3" s="173" t="s">
        <v>218</v>
      </c>
      <c r="C3" s="174" t="s">
        <v>210</v>
      </c>
      <c r="D3" s="232" t="s">
        <v>210</v>
      </c>
      <c r="E3" s="174" t="s">
        <v>210</v>
      </c>
      <c r="F3" s="174" t="s">
        <v>210</v>
      </c>
    </row>
    <row r="4" spans="1:6" x14ac:dyDescent="0.25">
      <c r="A4" s="172">
        <v>0.1</v>
      </c>
      <c r="B4" s="175" t="s">
        <v>219</v>
      </c>
      <c r="C4" s="176" t="s">
        <v>220</v>
      </c>
      <c r="D4" s="233">
        <v>1</v>
      </c>
      <c r="E4" s="177"/>
      <c r="F4" s="177">
        <f>E4*D4</f>
        <v>0</v>
      </c>
    </row>
    <row r="5" spans="1:6" x14ac:dyDescent="0.25">
      <c r="A5" s="178" t="s">
        <v>210</v>
      </c>
      <c r="B5" s="179" t="s">
        <v>221</v>
      </c>
      <c r="C5" s="180" t="s">
        <v>210</v>
      </c>
      <c r="D5" s="234" t="s">
        <v>210</v>
      </c>
      <c r="E5" s="180"/>
      <c r="F5" s="181">
        <f>F4</f>
        <v>0</v>
      </c>
    </row>
    <row r="6" spans="1:6" ht="47.25" x14ac:dyDescent="0.25">
      <c r="A6" s="172">
        <v>1</v>
      </c>
      <c r="B6" s="171" t="s">
        <v>222</v>
      </c>
      <c r="C6" s="176" t="s">
        <v>210</v>
      </c>
      <c r="D6" s="233" t="s">
        <v>210</v>
      </c>
      <c r="E6" s="176"/>
      <c r="F6" s="176" t="s">
        <v>210</v>
      </c>
    </row>
    <row r="7" spans="1:6" ht="47.25" x14ac:dyDescent="0.25">
      <c r="A7" s="182">
        <v>1.1000000000000001</v>
      </c>
      <c r="B7" s="175" t="s">
        <v>223</v>
      </c>
      <c r="C7" s="175" t="s">
        <v>224</v>
      </c>
      <c r="D7" s="235">
        <v>76.5</v>
      </c>
      <c r="E7" s="175"/>
      <c r="F7" s="183">
        <f>E7*D7</f>
        <v>0</v>
      </c>
    </row>
    <row r="8" spans="1:6" ht="47.25" x14ac:dyDescent="0.25">
      <c r="A8" s="182">
        <v>1.2</v>
      </c>
      <c r="B8" s="175" t="s">
        <v>225</v>
      </c>
      <c r="C8" s="175" t="s">
        <v>226</v>
      </c>
      <c r="D8" s="235">
        <v>38.25</v>
      </c>
      <c r="E8" s="175"/>
      <c r="F8" s="183">
        <f t="shared" ref="F8:F13" si="0">E8*D8</f>
        <v>0</v>
      </c>
    </row>
    <row r="9" spans="1:6" ht="33.75" x14ac:dyDescent="0.4">
      <c r="A9" s="184">
        <v>1.3</v>
      </c>
      <c r="B9" s="175" t="s">
        <v>227</v>
      </c>
      <c r="C9" s="175" t="s">
        <v>226</v>
      </c>
      <c r="D9" s="235">
        <v>13.14</v>
      </c>
      <c r="E9" s="185"/>
      <c r="F9" s="183">
        <f t="shared" si="0"/>
        <v>0</v>
      </c>
    </row>
    <row r="10" spans="1:6" ht="33.75" x14ac:dyDescent="0.4">
      <c r="A10" s="172">
        <v>1.4</v>
      </c>
      <c r="B10" s="175" t="s">
        <v>228</v>
      </c>
      <c r="C10" s="175" t="s">
        <v>226</v>
      </c>
      <c r="D10" s="235">
        <v>1.095</v>
      </c>
      <c r="E10" s="185"/>
      <c r="F10" s="183">
        <f t="shared" si="0"/>
        <v>0</v>
      </c>
    </row>
    <row r="11" spans="1:6" ht="21" x14ac:dyDescent="0.4">
      <c r="A11" s="184">
        <v>1.5</v>
      </c>
      <c r="B11" s="175" t="s">
        <v>229</v>
      </c>
      <c r="C11" s="175" t="s">
        <v>226</v>
      </c>
      <c r="D11" s="235">
        <v>8.76</v>
      </c>
      <c r="E11" s="185"/>
      <c r="F11" s="183">
        <f t="shared" si="0"/>
        <v>0</v>
      </c>
    </row>
    <row r="12" spans="1:6" ht="49.5" x14ac:dyDescent="0.4">
      <c r="A12" s="184">
        <v>1.6</v>
      </c>
      <c r="B12" s="175" t="s">
        <v>230</v>
      </c>
      <c r="C12" s="175" t="s">
        <v>226</v>
      </c>
      <c r="D12" s="235">
        <v>4.38</v>
      </c>
      <c r="E12" s="185"/>
      <c r="F12" s="183">
        <f t="shared" si="0"/>
        <v>0</v>
      </c>
    </row>
    <row r="13" spans="1:6" ht="33.75" x14ac:dyDescent="0.4">
      <c r="A13" s="184">
        <v>1.7</v>
      </c>
      <c r="B13" s="175" t="s">
        <v>231</v>
      </c>
      <c r="C13" s="175" t="s">
        <v>232</v>
      </c>
      <c r="D13" s="235">
        <v>36.5</v>
      </c>
      <c r="E13" s="185"/>
      <c r="F13" s="183">
        <f t="shared" si="0"/>
        <v>0</v>
      </c>
    </row>
    <row r="14" spans="1:6" x14ac:dyDescent="0.25">
      <c r="A14" s="178" t="s">
        <v>210</v>
      </c>
      <c r="B14" s="179" t="s">
        <v>221</v>
      </c>
      <c r="C14" s="180" t="s">
        <v>210</v>
      </c>
      <c r="D14" s="234" t="s">
        <v>210</v>
      </c>
      <c r="E14" s="180"/>
      <c r="F14" s="181">
        <f>SUM(F7:F13)</f>
        <v>0</v>
      </c>
    </row>
    <row r="15" spans="1:6" x14ac:dyDescent="0.25">
      <c r="A15" s="186">
        <v>2</v>
      </c>
      <c r="B15" s="171" t="s">
        <v>233</v>
      </c>
      <c r="C15" s="187" t="s">
        <v>210</v>
      </c>
      <c r="D15" s="236" t="s">
        <v>210</v>
      </c>
      <c r="E15" s="187"/>
      <c r="F15" s="187" t="s">
        <v>210</v>
      </c>
    </row>
    <row r="16" spans="1:6" ht="65.25" x14ac:dyDescent="0.4">
      <c r="A16" s="172">
        <v>2.1</v>
      </c>
      <c r="B16" s="175" t="s">
        <v>234</v>
      </c>
      <c r="C16" s="176" t="s">
        <v>235</v>
      </c>
      <c r="D16" s="235">
        <v>9.4920000000000009</v>
      </c>
      <c r="E16" s="188"/>
      <c r="F16" s="183">
        <f t="shared" ref="F16:F18" si="1">E16*D16</f>
        <v>0</v>
      </c>
    </row>
    <row r="17" spans="1:6" ht="33.75" x14ac:dyDescent="0.4">
      <c r="A17" s="172">
        <v>2.2000000000000002</v>
      </c>
      <c r="B17" s="175" t="s">
        <v>236</v>
      </c>
      <c r="C17" s="176" t="s">
        <v>67</v>
      </c>
      <c r="D17" s="233">
        <v>8</v>
      </c>
      <c r="E17" s="189"/>
      <c r="F17" s="183">
        <f t="shared" si="1"/>
        <v>0</v>
      </c>
    </row>
    <row r="18" spans="1:6" ht="21" x14ac:dyDescent="0.4">
      <c r="A18" s="172" t="s">
        <v>210</v>
      </c>
      <c r="B18" s="175" t="s">
        <v>237</v>
      </c>
      <c r="C18" s="176" t="s">
        <v>235</v>
      </c>
      <c r="D18" s="235">
        <v>1.3080000000000001</v>
      </c>
      <c r="E18" s="189"/>
      <c r="F18" s="183">
        <f t="shared" si="1"/>
        <v>0</v>
      </c>
    </row>
    <row r="19" spans="1:6" x14ac:dyDescent="0.25">
      <c r="A19" s="190" t="s">
        <v>210</v>
      </c>
      <c r="B19" s="191" t="s">
        <v>238</v>
      </c>
      <c r="C19" s="192" t="s">
        <v>210</v>
      </c>
      <c r="D19" s="237" t="s">
        <v>210</v>
      </c>
      <c r="E19" s="192"/>
      <c r="F19" s="193">
        <f>SUM(F16:F18)</f>
        <v>0</v>
      </c>
    </row>
    <row r="20" spans="1:6" x14ac:dyDescent="0.25">
      <c r="A20" s="194">
        <v>3</v>
      </c>
      <c r="B20" s="173" t="s">
        <v>239</v>
      </c>
      <c r="C20" s="173" t="s">
        <v>210</v>
      </c>
      <c r="D20" s="238" t="s">
        <v>210</v>
      </c>
      <c r="E20" s="173"/>
      <c r="F20" s="173" t="s">
        <v>210</v>
      </c>
    </row>
    <row r="21" spans="1:6" ht="65.25" x14ac:dyDescent="0.4">
      <c r="A21" s="184">
        <v>3.1</v>
      </c>
      <c r="B21" s="175" t="s">
        <v>240</v>
      </c>
      <c r="C21" s="175" t="s">
        <v>220</v>
      </c>
      <c r="D21" s="235">
        <v>1</v>
      </c>
      <c r="E21" s="185"/>
      <c r="F21" s="183">
        <f t="shared" ref="F21:F22" si="2">E21*D21</f>
        <v>0</v>
      </c>
    </row>
    <row r="22" spans="1:6" ht="65.25" x14ac:dyDescent="0.4">
      <c r="A22" s="184">
        <v>3.2</v>
      </c>
      <c r="B22" s="175" t="s">
        <v>241</v>
      </c>
      <c r="C22" s="175" t="s">
        <v>224</v>
      </c>
      <c r="D22" s="235">
        <v>41</v>
      </c>
      <c r="E22" s="185"/>
      <c r="F22" s="183">
        <f t="shared" si="2"/>
        <v>0</v>
      </c>
    </row>
    <row r="23" spans="1:6" x14ac:dyDescent="0.25">
      <c r="A23" s="178" t="s">
        <v>210</v>
      </c>
      <c r="B23" s="179" t="s">
        <v>221</v>
      </c>
      <c r="C23" s="180" t="s">
        <v>210</v>
      </c>
      <c r="D23" s="234" t="s">
        <v>210</v>
      </c>
      <c r="E23" s="180"/>
      <c r="F23" s="181">
        <f>SUM(F21:F22)</f>
        <v>0</v>
      </c>
    </row>
    <row r="24" spans="1:6" x14ac:dyDescent="0.25">
      <c r="A24" s="195">
        <v>4</v>
      </c>
      <c r="B24" s="196" t="s">
        <v>242</v>
      </c>
      <c r="C24" s="174" t="s">
        <v>210</v>
      </c>
      <c r="D24" s="232" t="s">
        <v>210</v>
      </c>
      <c r="E24" s="174"/>
      <c r="F24" s="174" t="s">
        <v>210</v>
      </c>
    </row>
    <row r="25" spans="1:6" ht="47.25" x14ac:dyDescent="0.25">
      <c r="A25" s="197">
        <v>4.0999999999999996</v>
      </c>
      <c r="B25" s="182" t="s">
        <v>243</v>
      </c>
      <c r="C25" s="175" t="s">
        <v>224</v>
      </c>
      <c r="D25" s="235">
        <v>35</v>
      </c>
      <c r="E25" s="183"/>
      <c r="F25" s="183">
        <f t="shared" ref="F25" si="3">E25*D25</f>
        <v>0</v>
      </c>
    </row>
    <row r="26" spans="1:6" x14ac:dyDescent="0.25">
      <c r="A26" s="198" t="s">
        <v>210</v>
      </c>
      <c r="B26" s="199" t="s">
        <v>221</v>
      </c>
      <c r="C26" s="180" t="s">
        <v>210</v>
      </c>
      <c r="D26" s="234" t="s">
        <v>210</v>
      </c>
      <c r="E26" s="180"/>
      <c r="F26" s="181">
        <f>F25</f>
        <v>0</v>
      </c>
    </row>
    <row r="27" spans="1:6" x14ac:dyDescent="0.25">
      <c r="A27" s="195">
        <v>5</v>
      </c>
      <c r="B27" s="196" t="s">
        <v>244</v>
      </c>
      <c r="C27" s="174" t="s">
        <v>210</v>
      </c>
      <c r="D27" s="232" t="s">
        <v>210</v>
      </c>
      <c r="E27" s="174"/>
      <c r="F27" s="174" t="s">
        <v>210</v>
      </c>
    </row>
    <row r="28" spans="1:6" x14ac:dyDescent="0.25">
      <c r="A28" s="197">
        <v>5.0999999999999996</v>
      </c>
      <c r="B28" s="196" t="s">
        <v>245</v>
      </c>
      <c r="C28" s="174" t="s">
        <v>210</v>
      </c>
      <c r="D28" s="232" t="s">
        <v>210</v>
      </c>
      <c r="E28" s="174"/>
      <c r="F28" s="174" t="s">
        <v>210</v>
      </c>
    </row>
    <row r="29" spans="1:6" ht="63" x14ac:dyDescent="0.25">
      <c r="A29" s="197"/>
      <c r="B29" s="200" t="s">
        <v>317</v>
      </c>
      <c r="C29" s="174" t="s">
        <v>55</v>
      </c>
      <c r="D29" s="239">
        <v>1</v>
      </c>
      <c r="E29" s="201"/>
      <c r="F29" s="183">
        <f>E29*D29</f>
        <v>0</v>
      </c>
    </row>
    <row r="30" spans="1:6" ht="63" x14ac:dyDescent="0.25">
      <c r="A30" s="195" t="s">
        <v>210</v>
      </c>
      <c r="B30" s="182" t="s">
        <v>318</v>
      </c>
      <c r="C30" s="175" t="s">
        <v>55</v>
      </c>
      <c r="D30" s="240">
        <v>2</v>
      </c>
      <c r="E30" s="201"/>
      <c r="F30" s="183">
        <f t="shared" ref="F30:F33" si="4">E30*D30</f>
        <v>0</v>
      </c>
    </row>
    <row r="31" spans="1:6" x14ac:dyDescent="0.25">
      <c r="A31" s="195">
        <v>5.2</v>
      </c>
      <c r="B31" s="196" t="s">
        <v>248</v>
      </c>
      <c r="C31" s="174" t="s">
        <v>210</v>
      </c>
      <c r="D31" s="241" t="s">
        <v>210</v>
      </c>
      <c r="E31" s="174"/>
      <c r="F31" s="183" t="s">
        <v>319</v>
      </c>
    </row>
    <row r="32" spans="1:6" ht="47.25" x14ac:dyDescent="0.25">
      <c r="A32" s="195" t="s">
        <v>210</v>
      </c>
      <c r="B32" s="182" t="s">
        <v>250</v>
      </c>
      <c r="C32" s="175" t="s">
        <v>55</v>
      </c>
      <c r="D32" s="235">
        <v>2</v>
      </c>
      <c r="E32" s="183"/>
      <c r="F32" s="183">
        <f t="shared" si="4"/>
        <v>0</v>
      </c>
    </row>
    <row r="33" spans="1:6" ht="47.25" x14ac:dyDescent="0.25">
      <c r="A33" s="195" t="s">
        <v>210</v>
      </c>
      <c r="B33" s="182" t="s">
        <v>252</v>
      </c>
      <c r="C33" s="175" t="s">
        <v>55</v>
      </c>
      <c r="D33" s="235">
        <v>1</v>
      </c>
      <c r="E33" s="183"/>
      <c r="F33" s="183">
        <f t="shared" si="4"/>
        <v>0</v>
      </c>
    </row>
    <row r="34" spans="1:6" x14ac:dyDescent="0.25">
      <c r="A34" s="202" t="s">
        <v>210</v>
      </c>
      <c r="B34" s="199" t="s">
        <v>221</v>
      </c>
      <c r="C34" s="180" t="s">
        <v>210</v>
      </c>
      <c r="D34" s="234" t="s">
        <v>210</v>
      </c>
      <c r="E34" s="180"/>
      <c r="F34" s="181">
        <f>SUM(F29:F33)</f>
        <v>0</v>
      </c>
    </row>
    <row r="35" spans="1:6" x14ac:dyDescent="0.25">
      <c r="A35" s="203">
        <v>6</v>
      </c>
      <c r="B35" s="196" t="s">
        <v>253</v>
      </c>
      <c r="C35" s="174" t="s">
        <v>210</v>
      </c>
      <c r="D35" s="232" t="s">
        <v>210</v>
      </c>
      <c r="E35" s="174"/>
      <c r="F35" s="174" t="s">
        <v>210</v>
      </c>
    </row>
    <row r="36" spans="1:6" x14ac:dyDescent="0.25">
      <c r="A36" s="195">
        <v>6.1</v>
      </c>
      <c r="B36" s="182" t="s">
        <v>254</v>
      </c>
      <c r="C36" s="175" t="s">
        <v>224</v>
      </c>
      <c r="D36" s="235">
        <v>37</v>
      </c>
      <c r="E36" s="183"/>
      <c r="F36" s="183">
        <f>E36*D36</f>
        <v>0</v>
      </c>
    </row>
    <row r="37" spans="1:6" x14ac:dyDescent="0.25">
      <c r="A37" s="202" t="s">
        <v>210</v>
      </c>
      <c r="B37" s="199" t="s">
        <v>221</v>
      </c>
      <c r="C37" s="180" t="s">
        <v>210</v>
      </c>
      <c r="D37" s="234" t="s">
        <v>210</v>
      </c>
      <c r="E37" s="180"/>
      <c r="F37" s="181">
        <f>F36</f>
        <v>0</v>
      </c>
    </row>
    <row r="38" spans="1:6" ht="47.25" x14ac:dyDescent="0.25">
      <c r="A38" s="195">
        <v>7</v>
      </c>
      <c r="B38" s="196" t="s">
        <v>255</v>
      </c>
      <c r="C38" s="174" t="s">
        <v>210</v>
      </c>
      <c r="D38" s="232" t="s">
        <v>210</v>
      </c>
      <c r="E38" s="174"/>
      <c r="F38" s="174" t="s">
        <v>210</v>
      </c>
    </row>
    <row r="39" spans="1:6" ht="31.5" x14ac:dyDescent="0.25">
      <c r="A39" s="195">
        <v>7.1</v>
      </c>
      <c r="B39" s="182" t="s">
        <v>256</v>
      </c>
      <c r="C39" s="175" t="s">
        <v>224</v>
      </c>
      <c r="D39" s="235">
        <v>53</v>
      </c>
      <c r="E39" s="183"/>
      <c r="F39" s="183">
        <f>E39*D39</f>
        <v>0</v>
      </c>
    </row>
    <row r="40" spans="1:6" x14ac:dyDescent="0.25">
      <c r="A40" s="202" t="s">
        <v>210</v>
      </c>
      <c r="B40" s="199" t="s">
        <v>221</v>
      </c>
      <c r="C40" s="180" t="s">
        <v>210</v>
      </c>
      <c r="D40" s="234" t="s">
        <v>210</v>
      </c>
      <c r="E40" s="180"/>
      <c r="F40" s="181">
        <f>F39</f>
        <v>0</v>
      </c>
    </row>
    <row r="41" spans="1:6" x14ac:dyDescent="0.25">
      <c r="A41" s="203">
        <v>8</v>
      </c>
      <c r="B41" s="196" t="s">
        <v>257</v>
      </c>
      <c r="C41" s="174" t="s">
        <v>210</v>
      </c>
      <c r="D41" s="232" t="s">
        <v>210</v>
      </c>
      <c r="E41" s="174"/>
      <c r="F41" s="174" t="s">
        <v>210</v>
      </c>
    </row>
    <row r="42" spans="1:6" ht="31.5" x14ac:dyDescent="0.25">
      <c r="A42" s="195">
        <v>8.1</v>
      </c>
      <c r="B42" s="182" t="s">
        <v>258</v>
      </c>
      <c r="C42" s="175" t="s">
        <v>224</v>
      </c>
      <c r="D42" s="235">
        <v>38</v>
      </c>
      <c r="E42" s="183"/>
      <c r="F42" s="183">
        <f>E42*D42</f>
        <v>0</v>
      </c>
    </row>
    <row r="43" spans="1:6" ht="31.5" x14ac:dyDescent="0.25">
      <c r="A43" s="195" t="s">
        <v>210</v>
      </c>
      <c r="B43" s="182" t="s">
        <v>259</v>
      </c>
      <c r="C43" s="175" t="s">
        <v>224</v>
      </c>
      <c r="D43" s="235">
        <v>15</v>
      </c>
      <c r="E43" s="183"/>
      <c r="F43" s="183">
        <f>E43*D43</f>
        <v>0</v>
      </c>
    </row>
    <row r="44" spans="1:6" x14ac:dyDescent="0.25">
      <c r="A44" s="202" t="s">
        <v>210</v>
      </c>
      <c r="B44" s="199" t="s">
        <v>221</v>
      </c>
      <c r="C44" s="180" t="s">
        <v>210</v>
      </c>
      <c r="D44" s="234" t="s">
        <v>210</v>
      </c>
      <c r="E44" s="180"/>
      <c r="F44" s="181">
        <f>SUM(F42:F43)</f>
        <v>0</v>
      </c>
    </row>
    <row r="45" spans="1:6" x14ac:dyDescent="0.25">
      <c r="A45" s="203">
        <v>9</v>
      </c>
      <c r="B45" s="196" t="s">
        <v>260</v>
      </c>
      <c r="C45" s="174" t="s">
        <v>210</v>
      </c>
      <c r="D45" s="232" t="s">
        <v>210</v>
      </c>
      <c r="E45" s="174"/>
      <c r="F45" s="174" t="s">
        <v>210</v>
      </c>
    </row>
    <row r="46" spans="1:6" x14ac:dyDescent="0.25">
      <c r="A46" s="195">
        <v>9</v>
      </c>
      <c r="B46" s="196" t="s">
        <v>261</v>
      </c>
      <c r="C46" s="204" t="s">
        <v>210</v>
      </c>
      <c r="D46" s="242" t="s">
        <v>210</v>
      </c>
      <c r="E46" s="204"/>
      <c r="F46" s="204" t="s">
        <v>210</v>
      </c>
    </row>
    <row r="47" spans="1:6" ht="63" x14ac:dyDescent="0.25">
      <c r="A47" s="195">
        <v>9.1</v>
      </c>
      <c r="B47" s="182" t="s">
        <v>262</v>
      </c>
      <c r="C47" s="175" t="s">
        <v>67</v>
      </c>
      <c r="D47" s="235">
        <v>1</v>
      </c>
      <c r="E47" s="183"/>
      <c r="F47" s="183">
        <f>E47*D47</f>
        <v>0</v>
      </c>
    </row>
    <row r="48" spans="1:6" ht="31.5" x14ac:dyDescent="0.25">
      <c r="A48" s="197">
        <v>9.1999999999999993</v>
      </c>
      <c r="B48" s="182" t="s">
        <v>263</v>
      </c>
      <c r="C48" s="204" t="s">
        <v>264</v>
      </c>
      <c r="D48" s="242">
        <v>1</v>
      </c>
      <c r="E48" s="205"/>
      <c r="F48" s="183">
        <f t="shared" ref="F48:F65" si="5">E48*D48</f>
        <v>0</v>
      </c>
    </row>
    <row r="49" spans="1:6" ht="86.25" customHeight="1" x14ac:dyDescent="0.25">
      <c r="A49" s="197">
        <v>9.3000000000000007</v>
      </c>
      <c r="B49" s="182" t="s">
        <v>265</v>
      </c>
      <c r="C49" s="204" t="s">
        <v>264</v>
      </c>
      <c r="D49" s="242">
        <v>1</v>
      </c>
      <c r="E49" s="205"/>
      <c r="F49" s="183">
        <f t="shared" si="5"/>
        <v>0</v>
      </c>
    </row>
    <row r="50" spans="1:6" x14ac:dyDescent="0.25">
      <c r="A50" s="199" t="s">
        <v>210</v>
      </c>
      <c r="B50" s="179" t="s">
        <v>221</v>
      </c>
      <c r="C50" s="179" t="s">
        <v>210</v>
      </c>
      <c r="D50" s="243" t="s">
        <v>210</v>
      </c>
      <c r="E50" s="179"/>
      <c r="F50" s="181">
        <f>SUM(F47:F49)</f>
        <v>0</v>
      </c>
    </row>
    <row r="51" spans="1:6" ht="47.25" x14ac:dyDescent="0.25">
      <c r="A51" s="197">
        <v>9.4</v>
      </c>
      <c r="B51" s="182" t="s">
        <v>266</v>
      </c>
      <c r="C51" s="175" t="s">
        <v>220</v>
      </c>
      <c r="D51" s="235">
        <v>1</v>
      </c>
      <c r="E51" s="205"/>
      <c r="F51" s="183">
        <f t="shared" si="5"/>
        <v>0</v>
      </c>
    </row>
    <row r="52" spans="1:6" ht="94.5" x14ac:dyDescent="0.25">
      <c r="A52" s="195">
        <v>9.5</v>
      </c>
      <c r="B52" s="182" t="s">
        <v>267</v>
      </c>
      <c r="C52" s="206" t="s">
        <v>226</v>
      </c>
      <c r="D52" s="242">
        <v>6.8</v>
      </c>
      <c r="E52" s="205"/>
      <c r="F52" s="183">
        <f t="shared" si="5"/>
        <v>0</v>
      </c>
    </row>
    <row r="53" spans="1:6" ht="31.5" x14ac:dyDescent="0.25">
      <c r="A53" s="195">
        <v>9.6</v>
      </c>
      <c r="B53" s="182" t="s">
        <v>268</v>
      </c>
      <c r="C53" s="206" t="s">
        <v>224</v>
      </c>
      <c r="D53" s="242">
        <v>7.5</v>
      </c>
      <c r="E53" s="205"/>
      <c r="F53" s="183">
        <f t="shared" si="5"/>
        <v>0</v>
      </c>
    </row>
    <row r="54" spans="1:6" ht="31.5" x14ac:dyDescent="0.25">
      <c r="A54" s="195">
        <v>9.6999999999999993</v>
      </c>
      <c r="B54" s="182" t="s">
        <v>269</v>
      </c>
      <c r="C54" s="206" t="s">
        <v>224</v>
      </c>
      <c r="D54" s="242">
        <v>4.5</v>
      </c>
      <c r="E54" s="205"/>
      <c r="F54" s="183">
        <f t="shared" si="5"/>
        <v>0</v>
      </c>
    </row>
    <row r="55" spans="1:6" ht="31.5" x14ac:dyDescent="0.25">
      <c r="A55" s="195">
        <v>9.8000000000000007</v>
      </c>
      <c r="B55" s="182" t="s">
        <v>270</v>
      </c>
      <c r="C55" s="204" t="s">
        <v>271</v>
      </c>
      <c r="D55" s="242">
        <v>10</v>
      </c>
      <c r="E55" s="205"/>
      <c r="F55" s="183">
        <f t="shared" si="5"/>
        <v>0</v>
      </c>
    </row>
    <row r="56" spans="1:6" ht="110.25" x14ac:dyDescent="0.25">
      <c r="A56" s="195">
        <v>9.9</v>
      </c>
      <c r="B56" s="182" t="s">
        <v>272</v>
      </c>
      <c r="C56" s="204" t="s">
        <v>55</v>
      </c>
      <c r="D56" s="242">
        <v>1</v>
      </c>
      <c r="E56" s="205"/>
      <c r="F56" s="183">
        <f t="shared" si="5"/>
        <v>0</v>
      </c>
    </row>
    <row r="57" spans="1:6" ht="31.5" x14ac:dyDescent="0.25">
      <c r="A57" s="207">
        <v>9.11</v>
      </c>
      <c r="B57" s="175" t="s">
        <v>273</v>
      </c>
      <c r="C57" s="206" t="s">
        <v>55</v>
      </c>
      <c r="D57" s="244">
        <v>2</v>
      </c>
      <c r="E57" s="205"/>
      <c r="F57" s="183">
        <f t="shared" si="5"/>
        <v>0</v>
      </c>
    </row>
    <row r="58" spans="1:6" ht="31.5" x14ac:dyDescent="0.25">
      <c r="A58" s="207">
        <v>9.1199999999999992</v>
      </c>
      <c r="B58" s="175" t="s">
        <v>274</v>
      </c>
      <c r="C58" s="206" t="s">
        <v>70</v>
      </c>
      <c r="D58" s="244">
        <v>10</v>
      </c>
      <c r="E58" s="205"/>
      <c r="F58" s="183">
        <f t="shared" si="5"/>
        <v>0</v>
      </c>
    </row>
    <row r="59" spans="1:6" ht="39" x14ac:dyDescent="0.4">
      <c r="A59" s="207">
        <v>9.1300000000000008</v>
      </c>
      <c r="B59" s="208" t="s">
        <v>275</v>
      </c>
      <c r="C59" s="206" t="s">
        <v>55</v>
      </c>
      <c r="D59" s="244">
        <v>4</v>
      </c>
      <c r="E59" s="205"/>
      <c r="F59" s="183">
        <f t="shared" si="5"/>
        <v>0</v>
      </c>
    </row>
    <row r="60" spans="1:6" ht="31.5" x14ac:dyDescent="0.25">
      <c r="A60" s="207">
        <v>9.14</v>
      </c>
      <c r="B60" s="175" t="s">
        <v>276</v>
      </c>
      <c r="C60" s="206" t="s">
        <v>55</v>
      </c>
      <c r="D60" s="244">
        <v>1</v>
      </c>
      <c r="E60" s="205"/>
      <c r="F60" s="183">
        <f t="shared" si="5"/>
        <v>0</v>
      </c>
    </row>
    <row r="61" spans="1:6" ht="31.5" x14ac:dyDescent="0.25">
      <c r="A61" s="207">
        <v>9.15</v>
      </c>
      <c r="B61" s="175" t="s">
        <v>277</v>
      </c>
      <c r="C61" s="206" t="s">
        <v>55</v>
      </c>
      <c r="D61" s="244">
        <v>2</v>
      </c>
      <c r="E61" s="205"/>
      <c r="F61" s="183">
        <f t="shared" si="5"/>
        <v>0</v>
      </c>
    </row>
    <row r="62" spans="1:6" ht="31.5" x14ac:dyDescent="0.25">
      <c r="A62" s="207">
        <v>9.16</v>
      </c>
      <c r="B62" s="175" t="s">
        <v>278</v>
      </c>
      <c r="C62" s="206" t="s">
        <v>55</v>
      </c>
      <c r="D62" s="244">
        <v>1</v>
      </c>
      <c r="E62" s="205"/>
      <c r="F62" s="183">
        <f t="shared" si="5"/>
        <v>0</v>
      </c>
    </row>
    <row r="63" spans="1:6" ht="31.5" x14ac:dyDescent="0.25">
      <c r="A63" s="207">
        <v>9.17</v>
      </c>
      <c r="B63" s="175" t="s">
        <v>279</v>
      </c>
      <c r="C63" s="206" t="s">
        <v>55</v>
      </c>
      <c r="D63" s="244">
        <v>2</v>
      </c>
      <c r="E63" s="205"/>
      <c r="F63" s="183">
        <f t="shared" si="5"/>
        <v>0</v>
      </c>
    </row>
    <row r="64" spans="1:6" x14ac:dyDescent="0.25">
      <c r="A64" s="207">
        <v>9.18</v>
      </c>
      <c r="B64" s="175" t="s">
        <v>280</v>
      </c>
      <c r="C64" s="206" t="s">
        <v>55</v>
      </c>
      <c r="D64" s="244">
        <v>2</v>
      </c>
      <c r="E64" s="205"/>
      <c r="F64" s="183">
        <f t="shared" si="5"/>
        <v>0</v>
      </c>
    </row>
    <row r="65" spans="1:6" x14ac:dyDescent="0.25">
      <c r="A65" s="207">
        <v>9.19</v>
      </c>
      <c r="B65" s="175" t="s">
        <v>281</v>
      </c>
      <c r="C65" s="206" t="s">
        <v>55</v>
      </c>
      <c r="D65" s="244">
        <v>2</v>
      </c>
      <c r="E65" s="205"/>
      <c r="F65" s="183">
        <f t="shared" si="5"/>
        <v>0</v>
      </c>
    </row>
    <row r="66" spans="1:6" x14ac:dyDescent="0.25">
      <c r="A66" s="209" t="s">
        <v>210</v>
      </c>
      <c r="B66" s="179" t="s">
        <v>221</v>
      </c>
      <c r="C66" s="210" t="s">
        <v>210</v>
      </c>
      <c r="D66" s="245" t="s">
        <v>210</v>
      </c>
      <c r="E66" s="210"/>
      <c r="F66" s="211">
        <f>SUM(F51:F65)</f>
        <v>0</v>
      </c>
    </row>
    <row r="67" spans="1:6" x14ac:dyDescent="0.25">
      <c r="A67" s="212">
        <v>10</v>
      </c>
      <c r="B67" s="213" t="s">
        <v>282</v>
      </c>
      <c r="C67" s="214" t="s">
        <v>210</v>
      </c>
      <c r="D67" s="246" t="s">
        <v>210</v>
      </c>
      <c r="E67" s="214"/>
      <c r="F67" s="215" t="s">
        <v>210</v>
      </c>
    </row>
    <row r="68" spans="1:6" ht="31.5" x14ac:dyDescent="0.25">
      <c r="A68" s="216">
        <v>10.1</v>
      </c>
      <c r="B68" s="175" t="s">
        <v>283</v>
      </c>
      <c r="C68" s="204" t="s">
        <v>55</v>
      </c>
      <c r="D68" s="242">
        <v>2</v>
      </c>
      <c r="E68" s="205"/>
      <c r="F68" s="183">
        <f t="shared" ref="F68:F82" si="6">E68*D68</f>
        <v>0</v>
      </c>
    </row>
    <row r="69" spans="1:6" ht="31.5" x14ac:dyDescent="0.25">
      <c r="A69" s="216">
        <v>10.199999999999999</v>
      </c>
      <c r="B69" s="175" t="s">
        <v>320</v>
      </c>
      <c r="C69" s="204" t="s">
        <v>55</v>
      </c>
      <c r="D69" s="242">
        <v>2</v>
      </c>
      <c r="E69" s="205"/>
      <c r="F69" s="183">
        <f t="shared" si="6"/>
        <v>0</v>
      </c>
    </row>
    <row r="70" spans="1:6" x14ac:dyDescent="0.25">
      <c r="A70" s="216">
        <v>10.3</v>
      </c>
      <c r="B70" s="175" t="s">
        <v>285</v>
      </c>
      <c r="C70" s="204" t="s">
        <v>55</v>
      </c>
      <c r="D70" s="242">
        <v>2</v>
      </c>
      <c r="E70" s="205"/>
      <c r="F70" s="183">
        <f t="shared" si="6"/>
        <v>0</v>
      </c>
    </row>
    <row r="71" spans="1:6" x14ac:dyDescent="0.25">
      <c r="A71" s="216">
        <v>10.4</v>
      </c>
      <c r="B71" s="175" t="s">
        <v>286</v>
      </c>
      <c r="C71" s="204" t="s">
        <v>55</v>
      </c>
      <c r="D71" s="242">
        <v>2</v>
      </c>
      <c r="E71" s="205"/>
      <c r="F71" s="183">
        <f t="shared" si="6"/>
        <v>0</v>
      </c>
    </row>
    <row r="72" spans="1:6" x14ac:dyDescent="0.25">
      <c r="A72" s="216">
        <v>10.5</v>
      </c>
      <c r="B72" s="175" t="s">
        <v>287</v>
      </c>
      <c r="C72" s="204" t="s">
        <v>55</v>
      </c>
      <c r="D72" s="242">
        <v>2</v>
      </c>
      <c r="E72" s="205"/>
      <c r="F72" s="183">
        <f t="shared" si="6"/>
        <v>0</v>
      </c>
    </row>
    <row r="73" spans="1:6" x14ac:dyDescent="0.25">
      <c r="A73" s="216">
        <v>10.6</v>
      </c>
      <c r="B73" s="175" t="s">
        <v>288</v>
      </c>
      <c r="C73" s="204" t="s">
        <v>88</v>
      </c>
      <c r="D73" s="242">
        <v>2</v>
      </c>
      <c r="E73" s="205"/>
      <c r="F73" s="183">
        <f t="shared" si="6"/>
        <v>0</v>
      </c>
    </row>
    <row r="74" spans="1:6" x14ac:dyDescent="0.25">
      <c r="A74" s="216">
        <v>10.7</v>
      </c>
      <c r="B74" s="175" t="s">
        <v>289</v>
      </c>
      <c r="C74" s="204" t="s">
        <v>55</v>
      </c>
      <c r="D74" s="242">
        <v>1</v>
      </c>
      <c r="E74" s="205"/>
      <c r="F74" s="183">
        <f t="shared" si="6"/>
        <v>0</v>
      </c>
    </row>
    <row r="75" spans="1:6" ht="31.5" x14ac:dyDescent="0.25">
      <c r="A75" s="216">
        <v>10.8</v>
      </c>
      <c r="B75" s="175" t="s">
        <v>290</v>
      </c>
      <c r="C75" s="204" t="s">
        <v>55</v>
      </c>
      <c r="D75" s="242">
        <v>2</v>
      </c>
      <c r="E75" s="205"/>
      <c r="F75" s="183">
        <f t="shared" si="6"/>
        <v>0</v>
      </c>
    </row>
    <row r="76" spans="1:6" x14ac:dyDescent="0.25">
      <c r="A76" s="216">
        <v>10.9</v>
      </c>
      <c r="B76" s="175" t="s">
        <v>291</v>
      </c>
      <c r="C76" s="204" t="s">
        <v>88</v>
      </c>
      <c r="D76" s="242">
        <v>3</v>
      </c>
      <c r="E76" s="205"/>
      <c r="F76" s="183">
        <f t="shared" si="6"/>
        <v>0</v>
      </c>
    </row>
    <row r="77" spans="1:6" ht="31.5" x14ac:dyDescent="0.25">
      <c r="A77" s="216">
        <v>10.1</v>
      </c>
      <c r="B77" s="175" t="s">
        <v>292</v>
      </c>
      <c r="C77" s="204" t="s">
        <v>55</v>
      </c>
      <c r="D77" s="233">
        <v>2</v>
      </c>
      <c r="E77" s="205"/>
      <c r="F77" s="183">
        <f t="shared" si="6"/>
        <v>0</v>
      </c>
    </row>
    <row r="78" spans="1:6" x14ac:dyDescent="0.25">
      <c r="A78" s="216">
        <v>10.119999999999999</v>
      </c>
      <c r="B78" s="175" t="s">
        <v>293</v>
      </c>
      <c r="C78" s="204" t="s">
        <v>294</v>
      </c>
      <c r="D78" s="242">
        <v>2</v>
      </c>
      <c r="E78" s="205"/>
      <c r="F78" s="183">
        <f t="shared" si="6"/>
        <v>0</v>
      </c>
    </row>
    <row r="79" spans="1:6" x14ac:dyDescent="0.25">
      <c r="A79" s="216">
        <v>10.130000000000001</v>
      </c>
      <c r="B79" s="175" t="s">
        <v>295</v>
      </c>
      <c r="C79" s="204" t="s">
        <v>88</v>
      </c>
      <c r="D79" s="242">
        <v>25</v>
      </c>
      <c r="E79" s="205"/>
      <c r="F79" s="183">
        <f t="shared" si="6"/>
        <v>0</v>
      </c>
    </row>
    <row r="80" spans="1:6" x14ac:dyDescent="0.25">
      <c r="A80" s="216">
        <v>10.14</v>
      </c>
      <c r="B80" s="175" t="s">
        <v>296</v>
      </c>
      <c r="C80" s="204" t="s">
        <v>88</v>
      </c>
      <c r="D80" s="242">
        <v>1</v>
      </c>
      <c r="E80" s="205"/>
      <c r="F80" s="183">
        <f t="shared" si="6"/>
        <v>0</v>
      </c>
    </row>
    <row r="81" spans="1:6" ht="31.5" x14ac:dyDescent="0.25">
      <c r="A81" s="216">
        <v>10.15</v>
      </c>
      <c r="B81" s="175" t="s">
        <v>297</v>
      </c>
      <c r="C81" s="204" t="s">
        <v>88</v>
      </c>
      <c r="D81" s="242">
        <v>1</v>
      </c>
      <c r="E81" s="205"/>
      <c r="F81" s="183">
        <f t="shared" si="6"/>
        <v>0</v>
      </c>
    </row>
    <row r="82" spans="1:6" ht="31.5" x14ac:dyDescent="0.25">
      <c r="A82" s="216">
        <v>10.17</v>
      </c>
      <c r="B82" s="175" t="s">
        <v>298</v>
      </c>
      <c r="C82" s="204" t="s">
        <v>88</v>
      </c>
      <c r="D82" s="242">
        <v>1</v>
      </c>
      <c r="E82" s="205"/>
      <c r="F82" s="183">
        <f t="shared" si="6"/>
        <v>0</v>
      </c>
    </row>
    <row r="83" spans="1:6" x14ac:dyDescent="0.25">
      <c r="A83" s="217" t="s">
        <v>210</v>
      </c>
      <c r="B83" s="179" t="s">
        <v>221</v>
      </c>
      <c r="C83" s="218" t="s">
        <v>210</v>
      </c>
      <c r="D83" s="247" t="s">
        <v>210</v>
      </c>
      <c r="E83" s="218"/>
      <c r="F83" s="211">
        <f>SUM(F68:F82)</f>
        <v>0</v>
      </c>
    </row>
    <row r="84" spans="1:6" x14ac:dyDescent="0.25">
      <c r="A84" s="219">
        <v>11</v>
      </c>
      <c r="B84" s="173" t="s">
        <v>299</v>
      </c>
      <c r="C84" s="206" t="s">
        <v>210</v>
      </c>
      <c r="D84" s="244" t="s">
        <v>210</v>
      </c>
      <c r="E84" s="204"/>
      <c r="F84" s="220" t="s">
        <v>210</v>
      </c>
    </row>
    <row r="85" spans="1:6" ht="31.5" x14ac:dyDescent="0.25">
      <c r="A85" s="216">
        <v>12.1</v>
      </c>
      <c r="B85" s="175" t="s">
        <v>300</v>
      </c>
      <c r="C85" s="206" t="s">
        <v>301</v>
      </c>
      <c r="D85" s="244">
        <v>1</v>
      </c>
      <c r="E85" s="205"/>
      <c r="F85" s="183">
        <f t="shared" ref="F85:F89" si="7">E85*D85</f>
        <v>0</v>
      </c>
    </row>
    <row r="86" spans="1:6" ht="63" x14ac:dyDescent="0.25">
      <c r="A86" s="216">
        <v>12.2</v>
      </c>
      <c r="B86" s="175" t="s">
        <v>302</v>
      </c>
      <c r="C86" s="206" t="s">
        <v>88</v>
      </c>
      <c r="D86" s="244">
        <v>3</v>
      </c>
      <c r="E86" s="205"/>
      <c r="F86" s="183">
        <f t="shared" si="7"/>
        <v>0</v>
      </c>
    </row>
    <row r="87" spans="1:6" ht="78.75" x14ac:dyDescent="0.25">
      <c r="A87" s="216">
        <v>12.3</v>
      </c>
      <c r="B87" s="175" t="s">
        <v>303</v>
      </c>
      <c r="C87" s="206" t="s">
        <v>88</v>
      </c>
      <c r="D87" s="244">
        <v>2</v>
      </c>
      <c r="E87" s="205"/>
      <c r="F87" s="183">
        <f t="shared" si="7"/>
        <v>0</v>
      </c>
    </row>
    <row r="88" spans="1:6" ht="63" x14ac:dyDescent="0.25">
      <c r="A88" s="216">
        <v>12.4</v>
      </c>
      <c r="B88" s="175" t="s">
        <v>304</v>
      </c>
      <c r="C88" s="206" t="s">
        <v>88</v>
      </c>
      <c r="D88" s="244">
        <v>2</v>
      </c>
      <c r="E88" s="205"/>
      <c r="F88" s="183">
        <f t="shared" si="7"/>
        <v>0</v>
      </c>
    </row>
    <row r="89" spans="1:6" ht="63" x14ac:dyDescent="0.25">
      <c r="A89" s="216">
        <v>12.5</v>
      </c>
      <c r="B89" s="175" t="s">
        <v>305</v>
      </c>
      <c r="C89" s="206" t="s">
        <v>88</v>
      </c>
      <c r="D89" s="244">
        <v>2</v>
      </c>
      <c r="E89" s="205"/>
      <c r="F89" s="183">
        <f t="shared" si="7"/>
        <v>0</v>
      </c>
    </row>
    <row r="90" spans="1:6" x14ac:dyDescent="0.25">
      <c r="A90" s="178" t="s">
        <v>210</v>
      </c>
      <c r="B90" s="218" t="s">
        <v>221</v>
      </c>
      <c r="C90" s="218" t="s">
        <v>210</v>
      </c>
      <c r="D90" s="247" t="s">
        <v>210</v>
      </c>
      <c r="E90" s="218"/>
      <c r="F90" s="211">
        <f>SUM(F85:F89)</f>
        <v>0</v>
      </c>
    </row>
    <row r="91" spans="1:6" x14ac:dyDescent="0.25">
      <c r="A91" s="219">
        <v>13</v>
      </c>
      <c r="B91" s="175" t="s">
        <v>306</v>
      </c>
      <c r="C91" s="206" t="s">
        <v>210</v>
      </c>
      <c r="D91" s="244" t="s">
        <v>210</v>
      </c>
      <c r="E91" s="204"/>
      <c r="F91" s="221" t="s">
        <v>210</v>
      </c>
    </row>
    <row r="92" spans="1:6" ht="94.5" x14ac:dyDescent="0.25">
      <c r="A92" s="216">
        <v>13.1</v>
      </c>
      <c r="B92" s="175" t="s">
        <v>321</v>
      </c>
      <c r="C92" s="204" t="s">
        <v>26</v>
      </c>
      <c r="D92" s="242">
        <v>1</v>
      </c>
      <c r="E92" s="205"/>
      <c r="F92" s="183">
        <f t="shared" ref="F92:F96" si="8">E92*D92</f>
        <v>0</v>
      </c>
    </row>
    <row r="93" spans="1:6" ht="47.25" x14ac:dyDescent="0.25">
      <c r="A93" s="216">
        <v>13.2</v>
      </c>
      <c r="B93" s="175" t="s">
        <v>308</v>
      </c>
      <c r="C93" s="204" t="s">
        <v>43</v>
      </c>
      <c r="D93" s="242">
        <v>0.7</v>
      </c>
      <c r="E93" s="205"/>
      <c r="F93" s="183">
        <f t="shared" si="8"/>
        <v>0</v>
      </c>
    </row>
    <row r="94" spans="1:6" ht="47.25" x14ac:dyDescent="0.25">
      <c r="A94" s="216">
        <v>13.3</v>
      </c>
      <c r="B94" s="175" t="s">
        <v>309</v>
      </c>
      <c r="C94" s="204" t="s">
        <v>43</v>
      </c>
      <c r="D94" s="242">
        <v>0.1</v>
      </c>
      <c r="E94" s="177"/>
      <c r="F94" s="183">
        <f t="shared" si="8"/>
        <v>0</v>
      </c>
    </row>
    <row r="95" spans="1:6" ht="31.5" x14ac:dyDescent="0.25">
      <c r="A95" s="216">
        <v>13.4</v>
      </c>
      <c r="B95" s="175" t="s">
        <v>310</v>
      </c>
      <c r="C95" s="204" t="s">
        <v>43</v>
      </c>
      <c r="D95" s="242">
        <v>6</v>
      </c>
      <c r="E95" s="205"/>
      <c r="F95" s="183">
        <f t="shared" si="8"/>
        <v>0</v>
      </c>
    </row>
    <row r="96" spans="1:6" ht="47.25" x14ac:dyDescent="0.25">
      <c r="A96" s="216" t="s">
        <v>210</v>
      </c>
      <c r="B96" s="175" t="s">
        <v>311</v>
      </c>
      <c r="C96" s="204" t="s">
        <v>88</v>
      </c>
      <c r="D96" s="242">
        <v>1</v>
      </c>
      <c r="E96" s="205"/>
      <c r="F96" s="183">
        <f t="shared" si="8"/>
        <v>0</v>
      </c>
    </row>
    <row r="97" spans="1:6" x14ac:dyDescent="0.25">
      <c r="A97" s="217" t="s">
        <v>210</v>
      </c>
      <c r="B97" s="179" t="s">
        <v>221</v>
      </c>
      <c r="C97" s="218" t="s">
        <v>210</v>
      </c>
      <c r="D97" s="247" t="s">
        <v>210</v>
      </c>
      <c r="E97" s="218"/>
      <c r="F97" s="211">
        <f>SUM(F92:F96)</f>
        <v>0</v>
      </c>
    </row>
    <row r="98" spans="1:6" x14ac:dyDescent="0.25">
      <c r="A98" s="219">
        <v>14</v>
      </c>
      <c r="B98" s="173" t="s">
        <v>312</v>
      </c>
      <c r="C98" s="206" t="s">
        <v>210</v>
      </c>
      <c r="D98" s="244" t="s">
        <v>210</v>
      </c>
      <c r="E98" s="204"/>
      <c r="F98" s="220" t="s">
        <v>210</v>
      </c>
    </row>
    <row r="99" spans="1:6" ht="31.5" x14ac:dyDescent="0.25">
      <c r="A99" s="216">
        <v>14.1</v>
      </c>
      <c r="B99" s="175" t="s">
        <v>313</v>
      </c>
      <c r="C99" s="204" t="s">
        <v>220</v>
      </c>
      <c r="D99" s="235">
        <v>1</v>
      </c>
      <c r="E99" s="183"/>
      <c r="F99" s="222">
        <f>E99*D99</f>
        <v>0</v>
      </c>
    </row>
    <row r="100" spans="1:6" x14ac:dyDescent="0.25">
      <c r="A100" s="217" t="s">
        <v>210</v>
      </c>
      <c r="B100" s="179" t="s">
        <v>221</v>
      </c>
      <c r="C100" s="180" t="s">
        <v>210</v>
      </c>
      <c r="D100" s="234" t="s">
        <v>210</v>
      </c>
      <c r="E100" s="180" t="s">
        <v>210</v>
      </c>
      <c r="F100" s="223">
        <f>F99</f>
        <v>0</v>
      </c>
    </row>
    <row r="101" spans="1:6" ht="31.5" x14ac:dyDescent="0.25">
      <c r="A101" s="224" t="s">
        <v>210</v>
      </c>
      <c r="B101" s="225" t="s">
        <v>314</v>
      </c>
      <c r="C101" s="226" t="s">
        <v>210</v>
      </c>
      <c r="D101" s="248" t="s">
        <v>210</v>
      </c>
      <c r="E101" s="226" t="s">
        <v>210</v>
      </c>
      <c r="F101" s="227">
        <f>SUM(F100+F97+F90+F83+F66+F50+F44+F40+F37+F34+F26+F23+F19+F14+F5)</f>
        <v>0</v>
      </c>
    </row>
    <row r="102" spans="1:6" ht="47.25" x14ac:dyDescent="0.25">
      <c r="A102" s="224" t="s">
        <v>210</v>
      </c>
      <c r="B102" s="225" t="s">
        <v>322</v>
      </c>
      <c r="C102" s="226" t="s">
        <v>210</v>
      </c>
      <c r="D102" s="248" t="s">
        <v>210</v>
      </c>
      <c r="E102" s="226" t="s">
        <v>210</v>
      </c>
      <c r="F102" s="227">
        <f>F101*4</f>
        <v>0</v>
      </c>
    </row>
    <row r="103" spans="1:6" x14ac:dyDescent="0.25">
      <c r="A103" s="158"/>
      <c r="B103" s="228"/>
      <c r="C103" s="158"/>
      <c r="D103" s="240"/>
      <c r="E103" s="158"/>
      <c r="F103" s="158"/>
    </row>
    <row r="104" spans="1:6" x14ac:dyDescent="0.25">
      <c r="A104" s="158"/>
      <c r="B104" s="228"/>
      <c r="C104" s="158"/>
      <c r="D104" s="240"/>
      <c r="E104" s="158"/>
      <c r="F104" s="158"/>
    </row>
    <row r="105" spans="1:6" x14ac:dyDescent="0.25">
      <c r="A105" s="158"/>
      <c r="B105" s="228"/>
      <c r="C105" s="158"/>
      <c r="D105" s="240"/>
      <c r="E105" s="158"/>
      <c r="F105" s="158"/>
    </row>
  </sheetData>
  <sheetProtection algorithmName="SHA-512" hashValue="3+2ehJii3jNR6RILuNvDjOPF7xjd0JGAmFERQy4qhe1fTW7T6MQEtMGiMDEItZUOypkDHBhS0q88/CizeX58FQ==" saltValue="iRuiPbq3dpdQco+xR+Uh3A==" spinCount="100000" sheet="1" objects="1" scenarios="1"/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F361B0F3B3914AB9C8B939AE71000C" ma:contentTypeVersion="17" ma:contentTypeDescription="Creare un nuovo documento." ma:contentTypeScope="" ma:versionID="24ec9e20ad441271ee41e577fca0b7c8">
  <xsd:schema xmlns:xsd="http://www.w3.org/2001/XMLSchema" xmlns:xs="http://www.w3.org/2001/XMLSchema" xmlns:p="http://schemas.microsoft.com/office/2006/metadata/properties" xmlns:ns2="804528f6-5513-46e3-97d9-65602c42c2b7" xmlns:ns3="d48253c5-7fcb-4b52-ac74-3b9a92a2a410" targetNamespace="http://schemas.microsoft.com/office/2006/metadata/properties" ma:root="true" ma:fieldsID="83fe7ea8faa3ca6afc522afe5ce5cbad" ns2:_="" ns3:_="">
    <xsd:import namespace="804528f6-5513-46e3-97d9-65602c42c2b7"/>
    <xsd:import namespace="d48253c5-7fcb-4b52-ac74-3b9a92a2a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528f6-5513-46e3-97d9-65602c42c2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4b39e7e4-e8ad-4023-b7e0-8cc8f87cc0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253c5-7fcb-4b52-ac74-3b9a92a2a41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05fc254-fdd5-4cbf-a33e-3b58a73cd286}" ma:internalName="TaxCatchAll" ma:showField="CatchAllData" ma:web="d48253c5-7fcb-4b52-ac74-3b9a92a2a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4528f6-5513-46e3-97d9-65602c42c2b7">
      <Terms xmlns="http://schemas.microsoft.com/office/infopath/2007/PartnerControls"/>
    </lcf76f155ced4ddcb4097134ff3c332f>
    <TaxCatchAll xmlns="d48253c5-7fcb-4b52-ac74-3b9a92a2a410" xsi:nil="true"/>
    <MediaLengthInSeconds xmlns="804528f6-5513-46e3-97d9-65602c42c2b7" xsi:nil="true"/>
  </documentManagement>
</p:properties>
</file>

<file path=customXml/itemProps1.xml><?xml version="1.0" encoding="utf-8"?>
<ds:datastoreItem xmlns:ds="http://schemas.openxmlformats.org/officeDocument/2006/customXml" ds:itemID="{98C0B9A8-C3B8-462B-B3C6-324FB1C17F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4528f6-5513-46e3-97d9-65602c42c2b7"/>
    <ds:schemaRef ds:uri="d48253c5-7fcb-4b52-ac74-3b9a92a2a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ACEB8E-614C-41C4-873E-C2908A04D8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D3817-4F1A-4236-BD4B-1EA35ECF9FA1}">
  <ds:schemaRefs>
    <ds:schemaRef ds:uri="http://schemas.microsoft.com/office/2006/metadata/properties"/>
    <ds:schemaRef ds:uri="http://schemas.microsoft.com/office/infopath/2007/PartnerControls"/>
    <ds:schemaRef ds:uri="804528f6-5513-46e3-97d9-65602c42c2b7"/>
    <ds:schemaRef ds:uri="d48253c5-7fcb-4b52-ac74-3b9a92a2a4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GITEBWE</vt:lpstr>
      <vt:lpstr>ADEGI GITUZA</vt:lpstr>
      <vt:lpstr>Busetsa PS</vt:lpstr>
      <vt:lpstr>NYAGISOZI</vt:lpstr>
      <vt:lpstr>NYARUBUYE</vt:lpstr>
      <vt:lpstr>TVET GITUZA</vt:lpstr>
      <vt:lpstr>DOUBLE GIRL'S ROOM</vt:lpstr>
      <vt:lpstr>SIGLE GIRLS ROOM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User</cp:lastModifiedBy>
  <cp:revision/>
  <dcterms:created xsi:type="dcterms:W3CDTF">2018-10-08T08:48:05Z</dcterms:created>
  <dcterms:modified xsi:type="dcterms:W3CDTF">2023-11-20T10:34:13Z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0x01010063F361B0F3B3914AB9C8B939AE71000C</vt:lpwstr>
  </property>
  <property fmtid="{D5CDD505-2E9C-101B-9397-08002B2CF9AE}" pid="3" name="MediaServiceImageTags">
    <vt:lpwstr/>
  </property>
  <property fmtid="{D5CDD505-2E9C-101B-9397-08002B2CF9AE}" pid="4" name="Order">
    <vt:r8>1059700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SourceUrl">
    <vt:lpwstr/>
  </property>
  <property fmtid="{D5CDD505-2E9C-101B-9397-08002B2CF9AE}" pid="12" name="_SharedFileIndex">
    <vt:lpwstr/>
  </property>
</Properties>
</file>